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4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omments11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comments13.xml" ContentType="application/vnd.openxmlformats-officedocument.spreadsheetml.comment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0" yWindow="90" windowWidth="8685" windowHeight="11640" tabRatio="903"/>
  </bookViews>
  <sheets>
    <sheet name="User Inputs" sheetId="8" r:id="rId1"/>
    <sheet name="Vessel Data" sheetId="15" r:id="rId2"/>
    <sheet name="Pax Service Overview" sheetId="6" r:id="rId3"/>
    <sheet name="Pax Capital" sheetId="12" r:id="rId4"/>
    <sheet name="Pax Operate Maint" sheetId="10" r:id="rId5"/>
    <sheet name="Pax Total Cost" sheetId="11" r:id="rId6"/>
    <sheet name="Pax Summary" sheetId="14" r:id="rId7"/>
    <sheet name="Manual" sheetId="23" r:id="rId8"/>
    <sheet name="Manual Capital" sheetId="25" r:id="rId9"/>
    <sheet name="Manual Oper Maint" sheetId="26" r:id="rId10"/>
    <sheet name="Manual Total" sheetId="27" r:id="rId11"/>
    <sheet name="RORO Service Overview" sheetId="28" r:id="rId12"/>
    <sheet name="RORO Capital" sheetId="29" r:id="rId13"/>
    <sheet name="RORO Oper Maint" sheetId="30" r:id="rId14"/>
    <sheet name="RORO Total Cost" sheetId="31" r:id="rId15"/>
    <sheet name="RORO Summary" sheetId="32" r:id="rId16"/>
    <sheet name="Manual RORO" sheetId="33" r:id="rId17"/>
    <sheet name="Manual Capital RORO" sheetId="34" r:id="rId18"/>
    <sheet name="Manual Oper Maint RORO" sheetId="35" r:id="rId19"/>
    <sheet name="Manual Total RORO" sheetId="36" r:id="rId20"/>
  </sheets>
  <definedNames>
    <definedName name="_xlnm.Print_Area" localSheetId="0">'User Inputs'!$A$1:$E$26</definedName>
  </definedNames>
  <calcPr calcId="145621"/>
</workbook>
</file>

<file path=xl/calcChain.xml><?xml version="1.0" encoding="utf-8"?>
<calcChain xmlns="http://schemas.openxmlformats.org/spreadsheetml/2006/main">
  <c r="C2" i="34" l="1"/>
  <c r="C3" i="34"/>
  <c r="E2" i="34"/>
  <c r="F2" i="34"/>
  <c r="E3" i="34"/>
  <c r="F3" i="34"/>
  <c r="D2" i="34"/>
  <c r="H20" i="25"/>
  <c r="G2" i="25"/>
  <c r="H2" i="25"/>
  <c r="I2" i="25"/>
  <c r="J2" i="25"/>
  <c r="C2" i="25"/>
  <c r="D2" i="25"/>
  <c r="E2" i="25"/>
  <c r="F2" i="25"/>
  <c r="H19" i="25"/>
  <c r="H18" i="25"/>
  <c r="F3" i="25"/>
  <c r="B24" i="8"/>
  <c r="D36" i="33"/>
  <c r="E36" i="33"/>
  <c r="C32" i="33"/>
  <c r="D32" i="33"/>
  <c r="D33" i="33" s="1"/>
  <c r="D34" i="33" s="1"/>
  <c r="E32" i="33"/>
  <c r="E33" i="33" s="1"/>
  <c r="E34" i="33" s="1"/>
  <c r="B32" i="33"/>
  <c r="C31" i="33"/>
  <c r="D31" i="33"/>
  <c r="E31" i="33"/>
  <c r="B31" i="33"/>
  <c r="C30" i="33"/>
  <c r="D30" i="33"/>
  <c r="E30" i="33"/>
  <c r="B30" i="33"/>
  <c r="AC16" i="32"/>
  <c r="AB16" i="32"/>
  <c r="AA16" i="32"/>
  <c r="AD17" i="32"/>
  <c r="AD11" i="32"/>
  <c r="P4" i="32"/>
  <c r="W13" i="32"/>
  <c r="W14" i="32"/>
  <c r="W15" i="32"/>
  <c r="AD15" i="32"/>
  <c r="AD14" i="32"/>
  <c r="AD13" i="32"/>
  <c r="AD12" i="32"/>
  <c r="AC12" i="32"/>
  <c r="AB12" i="32"/>
  <c r="AA12" i="32"/>
  <c r="O2" i="32"/>
  <c r="E3" i="33" s="1"/>
  <c r="N2" i="32"/>
  <c r="D3" i="33" s="1"/>
  <c r="M2" i="32"/>
  <c r="C3" i="33" s="1"/>
  <c r="L2" i="32"/>
  <c r="B3" i="33" s="1"/>
  <c r="A41" i="32"/>
  <c r="A37" i="32"/>
  <c r="W2" i="32"/>
  <c r="AD2" i="32" s="1"/>
  <c r="D35" i="32"/>
  <c r="U2" i="32"/>
  <c r="AB2" i="32" s="1"/>
  <c r="B35" i="32"/>
  <c r="B23" i="8"/>
  <c r="D2" i="35"/>
  <c r="E2" i="35"/>
  <c r="F2" i="35"/>
  <c r="C2" i="35"/>
  <c r="C35" i="25"/>
  <c r="C36" i="25"/>
  <c r="C37" i="25"/>
  <c r="C38" i="25"/>
  <c r="C39" i="25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D3" i="34"/>
  <c r="D3" i="25"/>
  <c r="E3" i="25"/>
  <c r="G3" i="25"/>
  <c r="H3" i="25"/>
  <c r="I3" i="25"/>
  <c r="J3" i="25"/>
  <c r="C3" i="25"/>
  <c r="D1" i="34"/>
  <c r="E1" i="34"/>
  <c r="E4" i="34" s="1"/>
  <c r="E5" i="34" s="1"/>
  <c r="F1" i="34"/>
  <c r="C1" i="34"/>
  <c r="E37" i="33"/>
  <c r="D37" i="33"/>
  <c r="F143" i="35"/>
  <c r="E143" i="35"/>
  <c r="D143" i="35"/>
  <c r="C143" i="35"/>
  <c r="F100" i="35"/>
  <c r="E100" i="35"/>
  <c r="D100" i="35"/>
  <c r="C100" i="35"/>
  <c r="F57" i="35"/>
  <c r="E57" i="35"/>
  <c r="D57" i="35"/>
  <c r="C57" i="35"/>
  <c r="F14" i="35"/>
  <c r="E14" i="35"/>
  <c r="D14" i="35"/>
  <c r="C14" i="35"/>
  <c r="D64" i="33"/>
  <c r="E63" i="33"/>
  <c r="E64" i="33" s="1"/>
  <c r="D63" i="33"/>
  <c r="C63" i="33"/>
  <c r="C64" i="33" s="1"/>
  <c r="B63" i="33"/>
  <c r="B64" i="33" s="1"/>
  <c r="D62" i="33"/>
  <c r="D61" i="33"/>
  <c r="D59" i="33"/>
  <c r="B59" i="33"/>
  <c r="E58" i="33"/>
  <c r="E59" i="33" s="1"/>
  <c r="D58" i="33"/>
  <c r="C58" i="33"/>
  <c r="C59" i="33" s="1"/>
  <c r="B58" i="33"/>
  <c r="D57" i="33"/>
  <c r="B57" i="33"/>
  <c r="D56" i="33"/>
  <c r="B56" i="33"/>
  <c r="D54" i="33"/>
  <c r="B54" i="33"/>
  <c r="E53" i="33"/>
  <c r="E54" i="33" s="1"/>
  <c r="D53" i="33"/>
  <c r="C53" i="33"/>
  <c r="C54" i="33" s="1"/>
  <c r="B53" i="33"/>
  <c r="D52" i="33"/>
  <c r="B52" i="33"/>
  <c r="D51" i="33"/>
  <c r="B51" i="33"/>
  <c r="E48" i="33"/>
  <c r="E49" i="33" s="1"/>
  <c r="D48" i="33"/>
  <c r="D49" i="33" s="1"/>
  <c r="C48" i="33"/>
  <c r="C49" i="33" s="1"/>
  <c r="B48" i="33"/>
  <c r="B49" i="33" s="1"/>
  <c r="E7" i="33"/>
  <c r="E62" i="33"/>
  <c r="D47" i="33"/>
  <c r="E40" i="33"/>
  <c r="D42" i="33"/>
  <c r="E20" i="33"/>
  <c r="D19" i="33"/>
  <c r="E16" i="33"/>
  <c r="D15" i="33"/>
  <c r="B15" i="33"/>
  <c r="E12" i="33"/>
  <c r="D11" i="33"/>
  <c r="B11" i="33"/>
  <c r="E8" i="33"/>
  <c r="D7" i="33"/>
  <c r="C37" i="29"/>
  <c r="D37" i="29"/>
  <c r="E37" i="29"/>
  <c r="F37" i="29"/>
  <c r="J37" i="29"/>
  <c r="K37" i="29"/>
  <c r="L37" i="29"/>
  <c r="M37" i="29"/>
  <c r="P37" i="29"/>
  <c r="Q37" i="29"/>
  <c r="R37" i="29"/>
  <c r="S37" i="29"/>
  <c r="C38" i="29"/>
  <c r="D38" i="29"/>
  <c r="E38" i="29"/>
  <c r="F38" i="29"/>
  <c r="J38" i="29"/>
  <c r="K38" i="29"/>
  <c r="L38" i="29"/>
  <c r="M38" i="29"/>
  <c r="P38" i="29"/>
  <c r="Q38" i="29"/>
  <c r="R38" i="29"/>
  <c r="S38" i="29"/>
  <c r="C39" i="29"/>
  <c r="D39" i="29"/>
  <c r="E39" i="29"/>
  <c r="F39" i="29"/>
  <c r="J39" i="29"/>
  <c r="K39" i="29"/>
  <c r="L39" i="29"/>
  <c r="M39" i="29"/>
  <c r="P39" i="29"/>
  <c r="Q39" i="29"/>
  <c r="R39" i="29"/>
  <c r="S39" i="29"/>
  <c r="C40" i="29"/>
  <c r="D40" i="29"/>
  <c r="E40" i="29"/>
  <c r="F40" i="29"/>
  <c r="J40" i="29"/>
  <c r="K40" i="29"/>
  <c r="L40" i="29"/>
  <c r="M40" i="29"/>
  <c r="P40" i="29"/>
  <c r="Q40" i="29"/>
  <c r="R40" i="29"/>
  <c r="S40" i="29"/>
  <c r="C41" i="29"/>
  <c r="D41" i="29"/>
  <c r="E41" i="29"/>
  <c r="F41" i="29"/>
  <c r="J41" i="29"/>
  <c r="K41" i="29"/>
  <c r="L41" i="29"/>
  <c r="M41" i="29"/>
  <c r="P41" i="29"/>
  <c r="Q41" i="29"/>
  <c r="R41" i="29"/>
  <c r="S41" i="29"/>
  <c r="C42" i="29"/>
  <c r="D42" i="29"/>
  <c r="E42" i="29"/>
  <c r="F42" i="29"/>
  <c r="J42" i="29"/>
  <c r="K42" i="29"/>
  <c r="L42" i="29"/>
  <c r="M42" i="29"/>
  <c r="P42" i="29"/>
  <c r="Q42" i="29"/>
  <c r="R42" i="29"/>
  <c r="S42" i="29"/>
  <c r="C43" i="29"/>
  <c r="D43" i="29"/>
  <c r="E43" i="29"/>
  <c r="F43" i="29"/>
  <c r="J43" i="29"/>
  <c r="K43" i="29"/>
  <c r="L43" i="29"/>
  <c r="M43" i="29"/>
  <c r="P43" i="29"/>
  <c r="Q43" i="29"/>
  <c r="R43" i="29"/>
  <c r="S43" i="29"/>
  <c r="C44" i="29"/>
  <c r="D44" i="29"/>
  <c r="E44" i="29"/>
  <c r="F44" i="29"/>
  <c r="J44" i="29"/>
  <c r="K44" i="29"/>
  <c r="L44" i="29"/>
  <c r="M44" i="29"/>
  <c r="P44" i="29"/>
  <c r="Q44" i="29"/>
  <c r="R44" i="29"/>
  <c r="S44" i="29"/>
  <c r="C45" i="29"/>
  <c r="D45" i="29"/>
  <c r="E45" i="29"/>
  <c r="F45" i="29"/>
  <c r="J45" i="29"/>
  <c r="K45" i="29"/>
  <c r="L45" i="29"/>
  <c r="M45" i="29"/>
  <c r="P45" i="29"/>
  <c r="Q45" i="29"/>
  <c r="R45" i="29"/>
  <c r="S45" i="29"/>
  <c r="C46" i="29"/>
  <c r="D46" i="29"/>
  <c r="E46" i="29"/>
  <c r="F46" i="29"/>
  <c r="J46" i="29"/>
  <c r="K46" i="29"/>
  <c r="L46" i="29"/>
  <c r="M46" i="29"/>
  <c r="P46" i="29"/>
  <c r="Q46" i="29"/>
  <c r="R46" i="29"/>
  <c r="S46" i="29"/>
  <c r="C47" i="29"/>
  <c r="D47" i="29"/>
  <c r="E47" i="29"/>
  <c r="F47" i="29"/>
  <c r="J47" i="29"/>
  <c r="K47" i="29"/>
  <c r="L47" i="29"/>
  <c r="M47" i="29"/>
  <c r="P47" i="29"/>
  <c r="Q47" i="29"/>
  <c r="R47" i="29"/>
  <c r="S47" i="29"/>
  <c r="C48" i="29"/>
  <c r="D48" i="29"/>
  <c r="E48" i="29"/>
  <c r="F48" i="29"/>
  <c r="J48" i="29"/>
  <c r="K48" i="29"/>
  <c r="L48" i="29"/>
  <c r="M48" i="29"/>
  <c r="P48" i="29"/>
  <c r="Q48" i="29"/>
  <c r="R48" i="29"/>
  <c r="S48" i="29"/>
  <c r="C49" i="29"/>
  <c r="D49" i="29"/>
  <c r="E49" i="29"/>
  <c r="F49" i="29"/>
  <c r="J49" i="29"/>
  <c r="K49" i="29"/>
  <c r="L49" i="29"/>
  <c r="M49" i="29"/>
  <c r="P49" i="29"/>
  <c r="Q49" i="29"/>
  <c r="R49" i="29"/>
  <c r="S49" i="29"/>
  <c r="C50" i="29"/>
  <c r="D50" i="29"/>
  <c r="E50" i="29"/>
  <c r="F50" i="29"/>
  <c r="J50" i="29"/>
  <c r="K50" i="29"/>
  <c r="L50" i="29"/>
  <c r="M50" i="29"/>
  <c r="P50" i="29"/>
  <c r="Q50" i="29"/>
  <c r="R50" i="29"/>
  <c r="S50" i="29"/>
  <c r="C51" i="29"/>
  <c r="D51" i="29"/>
  <c r="E51" i="29"/>
  <c r="F51" i="29"/>
  <c r="J51" i="29"/>
  <c r="K51" i="29"/>
  <c r="L51" i="29"/>
  <c r="M51" i="29"/>
  <c r="P51" i="29"/>
  <c r="Q51" i="29"/>
  <c r="R51" i="29"/>
  <c r="S51" i="29"/>
  <c r="C52" i="29"/>
  <c r="D52" i="29"/>
  <c r="E52" i="29"/>
  <c r="F52" i="29"/>
  <c r="J52" i="29"/>
  <c r="K52" i="29"/>
  <c r="L52" i="29"/>
  <c r="M52" i="29"/>
  <c r="P52" i="29"/>
  <c r="Q52" i="29"/>
  <c r="R52" i="29"/>
  <c r="S52" i="29"/>
  <c r="C53" i="29"/>
  <c r="D53" i="29"/>
  <c r="E53" i="29"/>
  <c r="F53" i="29"/>
  <c r="J53" i="29"/>
  <c r="K53" i="29"/>
  <c r="L53" i="29"/>
  <c r="M53" i="29"/>
  <c r="P53" i="29"/>
  <c r="Q53" i="29"/>
  <c r="R53" i="29"/>
  <c r="S53" i="29"/>
  <c r="C54" i="29"/>
  <c r="D54" i="29"/>
  <c r="E54" i="29"/>
  <c r="F54" i="29"/>
  <c r="J54" i="29"/>
  <c r="K54" i="29"/>
  <c r="L54" i="29"/>
  <c r="M54" i="29"/>
  <c r="P54" i="29"/>
  <c r="Q54" i="29"/>
  <c r="R54" i="29"/>
  <c r="S54" i="29"/>
  <c r="C55" i="29"/>
  <c r="D55" i="29"/>
  <c r="E55" i="29"/>
  <c r="F55" i="29"/>
  <c r="J55" i="29"/>
  <c r="K55" i="29"/>
  <c r="L55" i="29"/>
  <c r="M55" i="29"/>
  <c r="P55" i="29"/>
  <c r="Q55" i="29"/>
  <c r="R55" i="29"/>
  <c r="S55" i="29"/>
  <c r="C56" i="29"/>
  <c r="D56" i="29"/>
  <c r="E56" i="29"/>
  <c r="F56" i="29"/>
  <c r="J56" i="29"/>
  <c r="K56" i="29"/>
  <c r="L56" i="29"/>
  <c r="M56" i="29"/>
  <c r="P56" i="29"/>
  <c r="Q56" i="29"/>
  <c r="R56" i="29"/>
  <c r="S56" i="29"/>
  <c r="C37" i="12"/>
  <c r="D37" i="12"/>
  <c r="E37" i="12"/>
  <c r="F37" i="12"/>
  <c r="G37" i="12"/>
  <c r="H37" i="12"/>
  <c r="I37" i="12"/>
  <c r="J37" i="12"/>
  <c r="M37" i="12"/>
  <c r="N37" i="12"/>
  <c r="O37" i="12"/>
  <c r="P37" i="12"/>
  <c r="Q37" i="12"/>
  <c r="R37" i="12"/>
  <c r="S37" i="12"/>
  <c r="T37" i="12"/>
  <c r="W37" i="12"/>
  <c r="X37" i="12"/>
  <c r="Y37" i="12"/>
  <c r="Z37" i="12"/>
  <c r="AA37" i="12"/>
  <c r="AB37" i="12"/>
  <c r="AC37" i="12"/>
  <c r="AD37" i="12"/>
  <c r="C38" i="12"/>
  <c r="D38" i="12"/>
  <c r="E38" i="12"/>
  <c r="F38" i="12"/>
  <c r="G38" i="12"/>
  <c r="H38" i="12"/>
  <c r="I38" i="12"/>
  <c r="J38" i="12"/>
  <c r="M38" i="12"/>
  <c r="N38" i="12"/>
  <c r="O38" i="12"/>
  <c r="P38" i="12"/>
  <c r="Q38" i="12"/>
  <c r="R38" i="12"/>
  <c r="S38" i="12"/>
  <c r="T38" i="12"/>
  <c r="W38" i="12"/>
  <c r="X38" i="12"/>
  <c r="Y38" i="12"/>
  <c r="Z38" i="12"/>
  <c r="AA38" i="12"/>
  <c r="AB38" i="12"/>
  <c r="AC38" i="12"/>
  <c r="AD38" i="12"/>
  <c r="C39" i="12"/>
  <c r="D39" i="12"/>
  <c r="E39" i="12"/>
  <c r="F39" i="12"/>
  <c r="G39" i="12"/>
  <c r="H39" i="12"/>
  <c r="I39" i="12"/>
  <c r="J39" i="12"/>
  <c r="M39" i="12"/>
  <c r="N39" i="12"/>
  <c r="O39" i="12"/>
  <c r="P39" i="12"/>
  <c r="Q39" i="12"/>
  <c r="R39" i="12"/>
  <c r="S39" i="12"/>
  <c r="T39" i="12"/>
  <c r="W39" i="12"/>
  <c r="X39" i="12"/>
  <c r="Y39" i="12"/>
  <c r="Z39" i="12"/>
  <c r="AA39" i="12"/>
  <c r="AB39" i="12"/>
  <c r="AC39" i="12"/>
  <c r="AD39" i="12"/>
  <c r="C40" i="12"/>
  <c r="D40" i="12"/>
  <c r="E40" i="12"/>
  <c r="F40" i="12"/>
  <c r="G40" i="12"/>
  <c r="H40" i="12"/>
  <c r="I40" i="12"/>
  <c r="J40" i="12"/>
  <c r="M40" i="12"/>
  <c r="N40" i="12"/>
  <c r="O40" i="12"/>
  <c r="P40" i="12"/>
  <c r="Q40" i="12"/>
  <c r="R40" i="12"/>
  <c r="S40" i="12"/>
  <c r="T40" i="12"/>
  <c r="W40" i="12"/>
  <c r="X40" i="12"/>
  <c r="Y40" i="12"/>
  <c r="Z40" i="12"/>
  <c r="AA40" i="12"/>
  <c r="AB40" i="12"/>
  <c r="AC40" i="12"/>
  <c r="AD40" i="12"/>
  <c r="C41" i="12"/>
  <c r="D41" i="12"/>
  <c r="E41" i="12"/>
  <c r="F41" i="12"/>
  <c r="G41" i="12"/>
  <c r="H41" i="12"/>
  <c r="I41" i="12"/>
  <c r="J41" i="12"/>
  <c r="M41" i="12"/>
  <c r="N41" i="12"/>
  <c r="O41" i="12"/>
  <c r="P41" i="12"/>
  <c r="Q41" i="12"/>
  <c r="R41" i="12"/>
  <c r="S41" i="12"/>
  <c r="T41" i="12"/>
  <c r="W41" i="12"/>
  <c r="X41" i="12"/>
  <c r="Y41" i="12"/>
  <c r="Z41" i="12"/>
  <c r="AA41" i="12"/>
  <c r="AB41" i="12"/>
  <c r="AC41" i="12"/>
  <c r="AD41" i="12"/>
  <c r="B49" i="6"/>
  <c r="B50" i="6" s="1"/>
  <c r="B51" i="6"/>
  <c r="B52" i="6" s="1"/>
  <c r="D39" i="33" l="1"/>
  <c r="E3" i="35" s="1"/>
  <c r="E6" i="35" s="1"/>
  <c r="B38" i="33"/>
  <c r="D38" i="33"/>
  <c r="E12" i="34"/>
  <c r="T2" i="32"/>
  <c r="AA2" i="32" s="1"/>
  <c r="V2" i="32"/>
  <c r="AC2" i="32" s="1"/>
  <c r="C35" i="32"/>
  <c r="E35" i="32"/>
  <c r="B61" i="33"/>
  <c r="F4" i="34"/>
  <c r="B39" i="33"/>
  <c r="C3" i="35" s="1"/>
  <c r="C61" i="33"/>
  <c r="C38" i="33"/>
  <c r="D41" i="33"/>
  <c r="D43" i="33" s="1"/>
  <c r="D35" i="33"/>
  <c r="D40" i="33"/>
  <c r="D46" i="33"/>
  <c r="B40" i="33"/>
  <c r="B46" i="33"/>
  <c r="C51" i="33"/>
  <c r="C56" i="33"/>
  <c r="C39" i="33"/>
  <c r="D3" i="35" s="1"/>
  <c r="E38" i="33"/>
  <c r="E15" i="33"/>
  <c r="E11" i="33"/>
  <c r="E19" i="33"/>
  <c r="C40" i="33"/>
  <c r="C46" i="33"/>
  <c r="D44" i="33"/>
  <c r="E11" i="34"/>
  <c r="E6" i="34"/>
  <c r="E39" i="33"/>
  <c r="F3" i="35" s="1"/>
  <c r="E46" i="33"/>
  <c r="E47" i="33"/>
  <c r="E51" i="33"/>
  <c r="E52" i="33"/>
  <c r="E56" i="33"/>
  <c r="E57" i="33"/>
  <c r="E61" i="33"/>
  <c r="C49" i="15"/>
  <c r="B6" i="6"/>
  <c r="V10" i="14" s="1"/>
  <c r="E10" i="35" l="1"/>
  <c r="E11" i="35"/>
  <c r="E7" i="35"/>
  <c r="F11" i="35"/>
  <c r="F7" i="35"/>
  <c r="F171" i="35" s="1"/>
  <c r="F6" i="35"/>
  <c r="F10" i="35"/>
  <c r="F5" i="34"/>
  <c r="F12" i="34"/>
  <c r="C8" i="35"/>
  <c r="F170" i="35"/>
  <c r="B47" i="33"/>
  <c r="E169" i="35"/>
  <c r="E170" i="35"/>
  <c r="E171" i="35"/>
  <c r="E172" i="35"/>
  <c r="E173" i="35"/>
  <c r="E174" i="35"/>
  <c r="E175" i="35"/>
  <c r="E176" i="35"/>
  <c r="E177" i="35"/>
  <c r="E178" i="35"/>
  <c r="E179" i="35"/>
  <c r="E180" i="35"/>
  <c r="E181" i="35"/>
  <c r="E182" i="35"/>
  <c r="E183" i="35"/>
  <c r="F181" i="35"/>
  <c r="F6" i="34"/>
  <c r="F11" i="34"/>
  <c r="B23" i="33"/>
  <c r="B24" i="33"/>
  <c r="E168" i="35"/>
  <c r="E167" i="35"/>
  <c r="E166" i="35"/>
  <c r="E165" i="35"/>
  <c r="E164" i="35"/>
  <c r="E163" i="35"/>
  <c r="E162" i="35"/>
  <c r="E161" i="35"/>
  <c r="E160" i="35"/>
  <c r="E159" i="35"/>
  <c r="E158" i="35"/>
  <c r="E157" i="35"/>
  <c r="E156" i="35"/>
  <c r="E155" i="35"/>
  <c r="E154" i="35"/>
  <c r="E153" i="35"/>
  <c r="E152" i="35"/>
  <c r="E151" i="35"/>
  <c r="E150" i="35"/>
  <c r="E149" i="35"/>
  <c r="E148" i="35"/>
  <c r="E147" i="35"/>
  <c r="E146" i="35"/>
  <c r="E145" i="35"/>
  <c r="E144" i="35"/>
  <c r="E41" i="33"/>
  <c r="E42" i="33"/>
  <c r="F216" i="30"/>
  <c r="E216" i="30"/>
  <c r="D216" i="30"/>
  <c r="C216" i="30"/>
  <c r="T142" i="30"/>
  <c r="S142" i="30"/>
  <c r="R142" i="30"/>
  <c r="Q142" i="30"/>
  <c r="M142" i="30"/>
  <c r="L142" i="30"/>
  <c r="K142" i="30"/>
  <c r="J142" i="30"/>
  <c r="F142" i="30"/>
  <c r="E142" i="30"/>
  <c r="D142" i="30"/>
  <c r="C142" i="30"/>
  <c r="T99" i="30"/>
  <c r="S99" i="30"/>
  <c r="R99" i="30"/>
  <c r="Q99" i="30"/>
  <c r="M99" i="30"/>
  <c r="L99" i="30"/>
  <c r="K99" i="30"/>
  <c r="J99" i="30"/>
  <c r="F99" i="30"/>
  <c r="E99" i="30"/>
  <c r="D99" i="30"/>
  <c r="C99" i="30"/>
  <c r="T56" i="30"/>
  <c r="S56" i="30"/>
  <c r="R56" i="30"/>
  <c r="Q56" i="30"/>
  <c r="M56" i="30"/>
  <c r="L56" i="30"/>
  <c r="K56" i="30"/>
  <c r="J56" i="30"/>
  <c r="F56" i="30"/>
  <c r="E56" i="30"/>
  <c r="D56" i="30"/>
  <c r="C56" i="30"/>
  <c r="T14" i="30"/>
  <c r="S14" i="30"/>
  <c r="R14" i="30"/>
  <c r="Q14" i="30"/>
  <c r="M14" i="30"/>
  <c r="L14" i="30"/>
  <c r="K14" i="30"/>
  <c r="J14" i="30"/>
  <c r="F14" i="30"/>
  <c r="E14" i="30"/>
  <c r="D14" i="30"/>
  <c r="C14" i="30"/>
  <c r="E1" i="30"/>
  <c r="D1" i="30"/>
  <c r="D1" i="29"/>
  <c r="K1" i="29" s="1"/>
  <c r="Q1" i="29" s="1"/>
  <c r="E1" i="29"/>
  <c r="L1" i="29" s="1"/>
  <c r="R1" i="29" s="1"/>
  <c r="F1" i="29"/>
  <c r="M1" i="29" s="1"/>
  <c r="S1" i="29" s="1"/>
  <c r="C1" i="29"/>
  <c r="J1" i="29" s="1"/>
  <c r="P1" i="29" s="1"/>
  <c r="B3" i="28"/>
  <c r="L5" i="32" s="1"/>
  <c r="C36" i="28"/>
  <c r="D36" i="28"/>
  <c r="E36" i="28"/>
  <c r="D42" i="28"/>
  <c r="C23" i="28"/>
  <c r="C30" i="28" s="1"/>
  <c r="D23" i="28"/>
  <c r="D30" i="28" s="1"/>
  <c r="E23" i="28"/>
  <c r="E30" i="28" s="1"/>
  <c r="C3" i="28"/>
  <c r="M5" i="32" s="1"/>
  <c r="D3" i="28"/>
  <c r="N5" i="32" s="1"/>
  <c r="E3" i="28"/>
  <c r="O5" i="32" s="1"/>
  <c r="C5" i="28"/>
  <c r="D5" i="28"/>
  <c r="E5" i="28"/>
  <c r="C6" i="28"/>
  <c r="U10" i="32" s="1"/>
  <c r="D6" i="28"/>
  <c r="V10" i="32" s="1"/>
  <c r="E6" i="28"/>
  <c r="W10" i="32" s="1"/>
  <c r="C7" i="28"/>
  <c r="AB10" i="32" s="1"/>
  <c r="D7" i="28"/>
  <c r="AC10" i="32" s="1"/>
  <c r="E7" i="28"/>
  <c r="AD10" i="32" s="1"/>
  <c r="B7" i="28"/>
  <c r="AA10" i="32" s="1"/>
  <c r="B6" i="28"/>
  <c r="T10" i="32" s="1"/>
  <c r="B7" i="6"/>
  <c r="AE10" i="14" s="1"/>
  <c r="B5" i="28"/>
  <c r="B4" i="28"/>
  <c r="B36" i="28"/>
  <c r="B42" i="28" s="1"/>
  <c r="B23" i="28"/>
  <c r="B30" i="28" s="1"/>
  <c r="N16" i="15"/>
  <c r="N17" i="15"/>
  <c r="N21" i="15"/>
  <c r="N25" i="15"/>
  <c r="N27" i="15"/>
  <c r="N28" i="15"/>
  <c r="N30" i="15"/>
  <c r="N31" i="15"/>
  <c r="N36" i="15"/>
  <c r="N37" i="15" s="1"/>
  <c r="F4" i="35" s="1"/>
  <c r="N42" i="15"/>
  <c r="N49" i="15"/>
  <c r="E9" i="28" s="1"/>
  <c r="O6" i="32" s="1"/>
  <c r="F173" i="35" l="1"/>
  <c r="F183" i="35"/>
  <c r="F177" i="35"/>
  <c r="F169" i="35"/>
  <c r="F182" i="35"/>
  <c r="F179" i="35"/>
  <c r="F175" i="35"/>
  <c r="D8" i="35"/>
  <c r="E8" i="35" s="1"/>
  <c r="F180" i="35"/>
  <c r="F178" i="35"/>
  <c r="F176" i="35"/>
  <c r="F174" i="35"/>
  <c r="F172" i="35"/>
  <c r="E35" i="33"/>
  <c r="E43" i="33"/>
  <c r="F2" i="30"/>
  <c r="D2" i="30"/>
  <c r="C2" i="30"/>
  <c r="J2" i="30" s="1"/>
  <c r="Q2" i="30" s="1"/>
  <c r="E2" i="30"/>
  <c r="L2" i="30" s="1"/>
  <c r="S2" i="30" s="1"/>
  <c r="C2" i="31"/>
  <c r="V2" i="31" s="1"/>
  <c r="E2" i="31"/>
  <c r="X2" i="31" s="1"/>
  <c r="E10" i="28"/>
  <c r="N2" i="31"/>
  <c r="E42" i="28"/>
  <c r="C42" i="28"/>
  <c r="D13" i="28"/>
  <c r="B13" i="28"/>
  <c r="N14" i="15"/>
  <c r="N15" i="15" s="1"/>
  <c r="N53" i="15" s="1"/>
  <c r="N40" i="15" s="1"/>
  <c r="J17" i="15"/>
  <c r="L16" i="15"/>
  <c r="M16" i="15"/>
  <c r="L17" i="15"/>
  <c r="M17" i="15"/>
  <c r="I16" i="15"/>
  <c r="J16" i="15"/>
  <c r="J14" i="15" s="1"/>
  <c r="J15" i="15" s="1"/>
  <c r="K16" i="15"/>
  <c r="I17" i="15"/>
  <c r="K17" i="15"/>
  <c r="F16" i="15"/>
  <c r="F14" i="15" s="1"/>
  <c r="F15" i="15" s="1"/>
  <c r="G16" i="15"/>
  <c r="H16" i="15"/>
  <c r="H14" i="15" s="1"/>
  <c r="H15" i="15" s="1"/>
  <c r="F17" i="15"/>
  <c r="G17" i="15"/>
  <c r="H17" i="15"/>
  <c r="E16" i="15"/>
  <c r="E17" i="15"/>
  <c r="D16" i="15"/>
  <c r="D14" i="15" s="1"/>
  <c r="D15" i="15" s="1"/>
  <c r="D17" i="15"/>
  <c r="C16" i="15"/>
  <c r="C17" i="15"/>
  <c r="C14" i="15" s="1"/>
  <c r="D25" i="15"/>
  <c r="E25" i="15"/>
  <c r="F25" i="15"/>
  <c r="G25" i="15"/>
  <c r="H25" i="15"/>
  <c r="I25" i="15"/>
  <c r="J25" i="15"/>
  <c r="K25" i="15"/>
  <c r="L25" i="15"/>
  <c r="M25" i="15"/>
  <c r="C25" i="15"/>
  <c r="E23" i="8"/>
  <c r="E24" i="8" s="1"/>
  <c r="I11" i="23"/>
  <c r="D145" i="10"/>
  <c r="E145" i="10"/>
  <c r="F145" i="10"/>
  <c r="G145" i="10"/>
  <c r="H145" i="10"/>
  <c r="I145" i="10"/>
  <c r="J145" i="10"/>
  <c r="C145" i="10"/>
  <c r="H36" i="23"/>
  <c r="H37" i="23"/>
  <c r="J49" i="15"/>
  <c r="I36" i="23" s="1"/>
  <c r="K49" i="15"/>
  <c r="L49" i="15"/>
  <c r="G49" i="15"/>
  <c r="F36" i="23" s="1"/>
  <c r="H49" i="15"/>
  <c r="G36" i="23" s="1"/>
  <c r="I49" i="15"/>
  <c r="F49" i="15"/>
  <c r="E36" i="23" s="1"/>
  <c r="E49" i="15"/>
  <c r="D36" i="23" s="1"/>
  <c r="D49" i="15"/>
  <c r="B36" i="23"/>
  <c r="C3" i="6"/>
  <c r="D3" i="6"/>
  <c r="E3" i="6"/>
  <c r="F3" i="6"/>
  <c r="G3" i="6"/>
  <c r="H3" i="6"/>
  <c r="I3" i="6"/>
  <c r="B3" i="6"/>
  <c r="G14" i="15" l="1"/>
  <c r="G15" i="15" s="1"/>
  <c r="I14" i="15"/>
  <c r="I15" i="15" s="1"/>
  <c r="L2" i="31"/>
  <c r="E134" i="35"/>
  <c r="E126" i="35"/>
  <c r="E135" i="35"/>
  <c r="E127" i="35"/>
  <c r="E102" i="35"/>
  <c r="E110" i="35"/>
  <c r="E118" i="35"/>
  <c r="E101" i="35"/>
  <c r="E109" i="35"/>
  <c r="E117" i="35"/>
  <c r="E138" i="35"/>
  <c r="E130" i="35"/>
  <c r="E139" i="35"/>
  <c r="E131" i="35"/>
  <c r="E106" i="35"/>
  <c r="E114" i="35"/>
  <c r="E122" i="35"/>
  <c r="E105" i="35"/>
  <c r="E113" i="35"/>
  <c r="E121" i="35"/>
  <c r="B9" i="28"/>
  <c r="L6" i="32" s="1"/>
  <c r="B36" i="33"/>
  <c r="B62" i="33" s="1"/>
  <c r="F8" i="35"/>
  <c r="C33" i="33"/>
  <c r="B33" i="33"/>
  <c r="C9" i="28"/>
  <c r="C36" i="33"/>
  <c r="C62" i="33" s="1"/>
  <c r="E125" i="35"/>
  <c r="E123" i="35"/>
  <c r="E119" i="35"/>
  <c r="E115" i="35"/>
  <c r="E111" i="35"/>
  <c r="E107" i="35"/>
  <c r="E103" i="35"/>
  <c r="E124" i="35"/>
  <c r="E120" i="35"/>
  <c r="E116" i="35"/>
  <c r="E112" i="35"/>
  <c r="E108" i="35"/>
  <c r="E104" i="35"/>
  <c r="E129" i="35"/>
  <c r="E133" i="35"/>
  <c r="E137" i="35"/>
  <c r="E128" i="35"/>
  <c r="E132" i="35"/>
  <c r="E136" i="35"/>
  <c r="E140" i="35"/>
  <c r="C36" i="23"/>
  <c r="M2" i="30"/>
  <c r="T2" i="30" s="1"/>
  <c r="F2" i="31"/>
  <c r="K2" i="30"/>
  <c r="R2" i="30" s="1"/>
  <c r="D2" i="31"/>
  <c r="B10" i="28"/>
  <c r="B37" i="33" s="1"/>
  <c r="B19" i="33" s="1"/>
  <c r="E11" i="28"/>
  <c r="E33" i="28"/>
  <c r="E39" i="28"/>
  <c r="E43" i="28" s="1"/>
  <c r="E27" i="28"/>
  <c r="E20" i="28"/>
  <c r="E13" i="28"/>
  <c r="C13" i="28"/>
  <c r="N52" i="15"/>
  <c r="N39" i="15" s="1"/>
  <c r="F5" i="35" s="1"/>
  <c r="F9" i="35" s="1"/>
  <c r="M14" i="15"/>
  <c r="M15" i="15" s="1"/>
  <c r="L14" i="15"/>
  <c r="L15" i="15" s="1"/>
  <c r="K14" i="15"/>
  <c r="K15" i="15" s="1"/>
  <c r="E14" i="15"/>
  <c r="E15" i="15" s="1"/>
  <c r="C9" i="6"/>
  <c r="M6" i="14" s="1"/>
  <c r="E9" i="6"/>
  <c r="O6" i="14" s="1"/>
  <c r="G9" i="6"/>
  <c r="Q6" i="14" s="1"/>
  <c r="I9" i="6"/>
  <c r="S6" i="14" s="1"/>
  <c r="M49" i="15"/>
  <c r="D9" i="28" s="1"/>
  <c r="N6" i="32" s="1"/>
  <c r="B9" i="6"/>
  <c r="L6" i="14" s="1"/>
  <c r="C4" i="6"/>
  <c r="D4" i="6"/>
  <c r="E4" i="6"/>
  <c r="F4" i="6"/>
  <c r="G4" i="6"/>
  <c r="H4" i="6"/>
  <c r="I4" i="6"/>
  <c r="B4" i="6"/>
  <c r="T4" i="14"/>
  <c r="I2" i="26"/>
  <c r="E2" i="26"/>
  <c r="J98" i="26"/>
  <c r="I98" i="26"/>
  <c r="H98" i="26"/>
  <c r="G98" i="26"/>
  <c r="F98" i="26"/>
  <c r="E98" i="26"/>
  <c r="D98" i="26"/>
  <c r="C98" i="26"/>
  <c r="J70" i="26"/>
  <c r="I70" i="26"/>
  <c r="H70" i="26"/>
  <c r="G70" i="26"/>
  <c r="F70" i="26"/>
  <c r="E70" i="26"/>
  <c r="D70" i="26"/>
  <c r="C70" i="26"/>
  <c r="J42" i="26"/>
  <c r="I42" i="26"/>
  <c r="H42" i="26"/>
  <c r="G42" i="26"/>
  <c r="F42" i="26"/>
  <c r="E42" i="26"/>
  <c r="D42" i="26"/>
  <c r="C42" i="26"/>
  <c r="J14" i="26"/>
  <c r="I14" i="26"/>
  <c r="H14" i="26"/>
  <c r="G14" i="26"/>
  <c r="F14" i="26"/>
  <c r="E14" i="26"/>
  <c r="D14" i="26"/>
  <c r="C14" i="26"/>
  <c r="E1" i="25"/>
  <c r="I1" i="25"/>
  <c r="C48" i="23"/>
  <c r="C49" i="23" s="1"/>
  <c r="D48" i="23"/>
  <c r="E48" i="23"/>
  <c r="F48" i="23"/>
  <c r="G48" i="23"/>
  <c r="H48" i="23"/>
  <c r="I48" i="23"/>
  <c r="D49" i="23"/>
  <c r="E49" i="23"/>
  <c r="F49" i="23"/>
  <c r="G49" i="23"/>
  <c r="H49" i="23"/>
  <c r="I49" i="23"/>
  <c r="B48" i="23"/>
  <c r="B49" i="23" s="1"/>
  <c r="C30" i="23"/>
  <c r="D30" i="23"/>
  <c r="E30" i="23"/>
  <c r="F30" i="23"/>
  <c r="G30" i="23"/>
  <c r="H30" i="23"/>
  <c r="I30" i="23"/>
  <c r="C31" i="23"/>
  <c r="D31" i="23"/>
  <c r="E31" i="23"/>
  <c r="F31" i="23"/>
  <c r="G31" i="23"/>
  <c r="H31" i="23"/>
  <c r="I31" i="23"/>
  <c r="C32" i="23"/>
  <c r="D32" i="23"/>
  <c r="D33" i="23" s="1"/>
  <c r="D41" i="23" s="1"/>
  <c r="E32" i="23"/>
  <c r="E61" i="23" s="1"/>
  <c r="F32" i="23"/>
  <c r="F33" i="23" s="1"/>
  <c r="F41" i="23" s="1"/>
  <c r="G32" i="23"/>
  <c r="G33" i="23" s="1"/>
  <c r="H32" i="23"/>
  <c r="H33" i="23" s="1"/>
  <c r="I32" i="23"/>
  <c r="I33" i="23" s="1"/>
  <c r="B32" i="23"/>
  <c r="B31" i="23"/>
  <c r="B30" i="23"/>
  <c r="E46" i="23"/>
  <c r="F46" i="23"/>
  <c r="G46" i="23"/>
  <c r="H46" i="23"/>
  <c r="I46" i="23"/>
  <c r="D51" i="23"/>
  <c r="E51" i="23"/>
  <c r="F51" i="23"/>
  <c r="G51" i="23"/>
  <c r="H51" i="23"/>
  <c r="I51" i="23"/>
  <c r="C56" i="23"/>
  <c r="E56" i="23"/>
  <c r="F56" i="23"/>
  <c r="G56" i="23"/>
  <c r="H56" i="23"/>
  <c r="I56" i="23"/>
  <c r="C61" i="23"/>
  <c r="D61" i="23"/>
  <c r="F61" i="23"/>
  <c r="G61" i="23"/>
  <c r="H61" i="23"/>
  <c r="I61" i="23"/>
  <c r="C63" i="23"/>
  <c r="D63" i="23"/>
  <c r="E63" i="23"/>
  <c r="E64" i="23" s="1"/>
  <c r="F63" i="23"/>
  <c r="G63" i="23"/>
  <c r="H63" i="23"/>
  <c r="I63" i="23"/>
  <c r="B63" i="23"/>
  <c r="B58" i="23"/>
  <c r="B64" i="23"/>
  <c r="C58" i="23"/>
  <c r="D58" i="23"/>
  <c r="D59" i="23" s="1"/>
  <c r="E58" i="23"/>
  <c r="E59" i="23" s="1"/>
  <c r="F58" i="23"/>
  <c r="G58" i="23"/>
  <c r="H58" i="23"/>
  <c r="I58" i="23"/>
  <c r="I59" i="23" s="1"/>
  <c r="B53" i="23"/>
  <c r="C53" i="23"/>
  <c r="C54" i="23" s="1"/>
  <c r="D53" i="23"/>
  <c r="E53" i="23"/>
  <c r="E54" i="23" s="1"/>
  <c r="F53" i="23"/>
  <c r="F54" i="23" s="1"/>
  <c r="G53" i="23"/>
  <c r="H53" i="23"/>
  <c r="I53" i="23"/>
  <c r="D54" i="23"/>
  <c r="G54" i="23"/>
  <c r="H54" i="23"/>
  <c r="I54" i="23"/>
  <c r="B54" i="23"/>
  <c r="E20" i="23"/>
  <c r="E16" i="23"/>
  <c r="I64" i="23"/>
  <c r="H64" i="23"/>
  <c r="G64" i="23"/>
  <c r="F64" i="23"/>
  <c r="D64" i="23"/>
  <c r="I62" i="23"/>
  <c r="H62" i="23"/>
  <c r="G62" i="23"/>
  <c r="F62" i="23"/>
  <c r="E62" i="23"/>
  <c r="D62" i="23"/>
  <c r="C62" i="23"/>
  <c r="H19" i="23"/>
  <c r="G19" i="23"/>
  <c r="F19" i="23"/>
  <c r="C19" i="23"/>
  <c r="H59" i="23"/>
  <c r="G59" i="23"/>
  <c r="F59" i="23"/>
  <c r="I57" i="23"/>
  <c r="H57" i="23"/>
  <c r="G57" i="23"/>
  <c r="F57" i="23"/>
  <c r="E57" i="23"/>
  <c r="D57" i="23"/>
  <c r="H15" i="23"/>
  <c r="G15" i="23"/>
  <c r="F15" i="23"/>
  <c r="D52" i="23"/>
  <c r="F52" i="23"/>
  <c r="G52" i="23"/>
  <c r="H52" i="23"/>
  <c r="I52" i="23"/>
  <c r="E8" i="23"/>
  <c r="E12" i="23"/>
  <c r="H11" i="23"/>
  <c r="H7" i="23"/>
  <c r="F47" i="23"/>
  <c r="G47" i="23"/>
  <c r="H47" i="23"/>
  <c r="I47" i="23"/>
  <c r="I3" i="23"/>
  <c r="H3" i="23"/>
  <c r="G3" i="23"/>
  <c r="F3" i="23"/>
  <c r="E3" i="23"/>
  <c r="D3" i="23"/>
  <c r="C3" i="23"/>
  <c r="B3" i="23"/>
  <c r="AD97" i="10"/>
  <c r="AC97" i="10"/>
  <c r="AB97" i="10"/>
  <c r="AA97" i="10"/>
  <c r="Z97" i="10"/>
  <c r="Y97" i="10"/>
  <c r="X97" i="10"/>
  <c r="W97" i="10"/>
  <c r="AD69" i="10"/>
  <c r="AC69" i="10"/>
  <c r="AB69" i="10"/>
  <c r="AA69" i="10"/>
  <c r="Z69" i="10"/>
  <c r="Y69" i="10"/>
  <c r="X69" i="10"/>
  <c r="W69" i="10"/>
  <c r="M97" i="10"/>
  <c r="N97" i="10"/>
  <c r="O97" i="10"/>
  <c r="P97" i="10"/>
  <c r="Q97" i="10"/>
  <c r="R97" i="10"/>
  <c r="S97" i="10"/>
  <c r="T97" i="10"/>
  <c r="T69" i="10"/>
  <c r="S69" i="10"/>
  <c r="R69" i="10"/>
  <c r="Q69" i="10"/>
  <c r="P69" i="10"/>
  <c r="O69" i="10"/>
  <c r="N69" i="10"/>
  <c r="M69" i="10"/>
  <c r="AD41" i="10"/>
  <c r="AD14" i="10" s="1"/>
  <c r="AC41" i="10"/>
  <c r="AC14" i="10" s="1"/>
  <c r="AB41" i="10"/>
  <c r="AB14" i="10" s="1"/>
  <c r="AA41" i="10"/>
  <c r="AA14" i="10" s="1"/>
  <c r="Z41" i="10"/>
  <c r="Z14" i="10" s="1"/>
  <c r="Y41" i="10"/>
  <c r="Y14" i="10" s="1"/>
  <c r="X41" i="10"/>
  <c r="X14" i="10" s="1"/>
  <c r="W41" i="10"/>
  <c r="W14" i="10" s="1"/>
  <c r="T41" i="10"/>
  <c r="T14" i="10" s="1"/>
  <c r="S41" i="10"/>
  <c r="R41" i="10"/>
  <c r="R14" i="10" s="1"/>
  <c r="Q41" i="10"/>
  <c r="P41" i="10"/>
  <c r="P14" i="10" s="1"/>
  <c r="O41" i="10"/>
  <c r="N41" i="10"/>
  <c r="N14" i="10" s="1"/>
  <c r="M41" i="10"/>
  <c r="D69" i="10"/>
  <c r="E69" i="10"/>
  <c r="F69" i="10"/>
  <c r="G69" i="10"/>
  <c r="H69" i="10"/>
  <c r="I69" i="10"/>
  <c r="J69" i="10"/>
  <c r="C42" i="15"/>
  <c r="D97" i="10"/>
  <c r="E97" i="10"/>
  <c r="F97" i="10"/>
  <c r="G97" i="10"/>
  <c r="H97" i="10"/>
  <c r="I97" i="10"/>
  <c r="J97" i="10"/>
  <c r="C97" i="10"/>
  <c r="C69" i="10"/>
  <c r="D41" i="10"/>
  <c r="E41" i="10"/>
  <c r="E14" i="10" s="1"/>
  <c r="F41" i="10"/>
  <c r="G41" i="10"/>
  <c r="G14" i="10" s="1"/>
  <c r="H41" i="10"/>
  <c r="I41" i="10"/>
  <c r="I14" i="10" s="1"/>
  <c r="J41" i="10"/>
  <c r="C41" i="10"/>
  <c r="C14" i="10" s="1"/>
  <c r="F2" i="29" l="1"/>
  <c r="F3" i="29"/>
  <c r="B34" i="33"/>
  <c r="B42" i="33" s="1"/>
  <c r="B41" i="33"/>
  <c r="B35" i="33"/>
  <c r="Q6" i="29"/>
  <c r="S6" i="29"/>
  <c r="K6" i="29"/>
  <c r="D6" i="29" s="1"/>
  <c r="M10" i="32" s="1"/>
  <c r="M6" i="29"/>
  <c r="F6" i="29" s="1"/>
  <c r="R6" i="29"/>
  <c r="P6" i="29"/>
  <c r="L6" i="29"/>
  <c r="E6" i="29" s="1"/>
  <c r="N10" i="32" s="1"/>
  <c r="J6" i="29"/>
  <c r="C6" i="29" s="1"/>
  <c r="L10" i="32" s="1"/>
  <c r="C34" i="33"/>
  <c r="C42" i="33" s="1"/>
  <c r="C41" i="33"/>
  <c r="C35" i="33"/>
  <c r="E25" i="28"/>
  <c r="O4" i="32"/>
  <c r="S7" i="29"/>
  <c r="M7" i="29"/>
  <c r="C10" i="28"/>
  <c r="C37" i="33" s="1"/>
  <c r="M6" i="32"/>
  <c r="O10" i="32"/>
  <c r="F7" i="29"/>
  <c r="F126" i="35"/>
  <c r="F137" i="35"/>
  <c r="F133" i="35"/>
  <c r="F129" i="35"/>
  <c r="F140" i="35"/>
  <c r="F136" i="35"/>
  <c r="F132" i="35"/>
  <c r="F128" i="35"/>
  <c r="F127" i="35"/>
  <c r="F134" i="35"/>
  <c r="F139" i="35"/>
  <c r="F135" i="35"/>
  <c r="F131" i="35"/>
  <c r="F138" i="35"/>
  <c r="F130" i="35"/>
  <c r="I3" i="27"/>
  <c r="C47" i="33"/>
  <c r="C52" i="33"/>
  <c r="C57" i="33"/>
  <c r="W2" i="31"/>
  <c r="M2" i="31"/>
  <c r="Y2" i="31"/>
  <c r="O2" i="31"/>
  <c r="D10" i="28"/>
  <c r="E21" i="28"/>
  <c r="E24" i="28"/>
  <c r="E22" i="28"/>
  <c r="O7" i="32" s="1"/>
  <c r="O27" i="32" s="1"/>
  <c r="E40" i="28"/>
  <c r="E41" i="28"/>
  <c r="O8" i="32" s="1"/>
  <c r="E12" i="28"/>
  <c r="E28" i="28"/>
  <c r="E31" i="28"/>
  <c r="E29" i="28"/>
  <c r="E34" i="28"/>
  <c r="E35" i="28"/>
  <c r="E37" i="28"/>
  <c r="B33" i="28"/>
  <c r="B20" i="28"/>
  <c r="B39" i="28"/>
  <c r="B27" i="28"/>
  <c r="B11" i="28"/>
  <c r="C11" i="28"/>
  <c r="C27" i="28"/>
  <c r="C20" i="28"/>
  <c r="C33" i="28"/>
  <c r="C39" i="28"/>
  <c r="L53" i="15"/>
  <c r="L40" i="15" s="1"/>
  <c r="F40" i="23"/>
  <c r="H53" i="15"/>
  <c r="H40" i="15" s="1"/>
  <c r="F53" i="15"/>
  <c r="F40" i="15" s="1"/>
  <c r="H34" i="23"/>
  <c r="H42" i="23" s="1"/>
  <c r="H41" i="23"/>
  <c r="H43" i="23" s="1"/>
  <c r="H40" i="23"/>
  <c r="F34" i="23"/>
  <c r="F42" i="23" s="1"/>
  <c r="F43" i="23" s="1"/>
  <c r="M14" i="10"/>
  <c r="O14" i="10"/>
  <c r="Q14" i="10"/>
  <c r="S14" i="10"/>
  <c r="D56" i="23"/>
  <c r="I34" i="23"/>
  <c r="I42" i="23" s="1"/>
  <c r="I40" i="23"/>
  <c r="I41" i="23"/>
  <c r="D46" i="23"/>
  <c r="D40" i="23"/>
  <c r="D34" i="23"/>
  <c r="D42" i="23" s="1"/>
  <c r="D43" i="23" s="1"/>
  <c r="G34" i="23"/>
  <c r="G42" i="23" s="1"/>
  <c r="G40" i="23"/>
  <c r="G41" i="23"/>
  <c r="J53" i="15"/>
  <c r="J40" i="15" s="1"/>
  <c r="E40" i="23"/>
  <c r="E33" i="23"/>
  <c r="C40" i="23"/>
  <c r="C33" i="23"/>
  <c r="B40" i="23"/>
  <c r="B33" i="23"/>
  <c r="Z6" i="12"/>
  <c r="AB6" i="12"/>
  <c r="AD6" i="12"/>
  <c r="W6" i="12"/>
  <c r="O6" i="12"/>
  <c r="Q6" i="12"/>
  <c r="S6" i="12"/>
  <c r="M6" i="12"/>
  <c r="Y6" i="12"/>
  <c r="AA6" i="12"/>
  <c r="AC6" i="12"/>
  <c r="X6" i="12"/>
  <c r="N6" i="12"/>
  <c r="P6" i="12"/>
  <c r="R6" i="12"/>
  <c r="T6" i="12"/>
  <c r="B10" i="6"/>
  <c r="H9" i="6"/>
  <c r="R6" i="14" s="1"/>
  <c r="F9" i="6"/>
  <c r="P6" i="14" s="1"/>
  <c r="D9" i="6"/>
  <c r="N6" i="14" s="1"/>
  <c r="B51" i="23"/>
  <c r="L52" i="15"/>
  <c r="L39" i="15" s="1"/>
  <c r="D5" i="35" s="1"/>
  <c r="J52" i="15"/>
  <c r="J39" i="15" s="1"/>
  <c r="H52" i="15"/>
  <c r="H39" i="15" s="1"/>
  <c r="F52" i="15"/>
  <c r="F39" i="15" s="1"/>
  <c r="D52" i="15"/>
  <c r="D39" i="15" s="1"/>
  <c r="E52" i="15"/>
  <c r="E39" i="15" s="1"/>
  <c r="D39" i="23"/>
  <c r="E3" i="26" s="1"/>
  <c r="F39" i="23"/>
  <c r="G3" i="26" s="1"/>
  <c r="H39" i="23"/>
  <c r="I3" i="26" s="1"/>
  <c r="H38" i="23"/>
  <c r="F38" i="23"/>
  <c r="D38" i="23"/>
  <c r="E39" i="23"/>
  <c r="F3" i="26" s="1"/>
  <c r="G39" i="23"/>
  <c r="H3" i="26" s="1"/>
  <c r="I39" i="23"/>
  <c r="J3" i="26" s="1"/>
  <c r="I38" i="23"/>
  <c r="G38" i="23"/>
  <c r="E38" i="23"/>
  <c r="C38" i="23"/>
  <c r="B38" i="23"/>
  <c r="B46" i="23"/>
  <c r="B61" i="23"/>
  <c r="C46" i="23"/>
  <c r="B56" i="23"/>
  <c r="C51" i="23"/>
  <c r="B59" i="23"/>
  <c r="C57" i="23"/>
  <c r="C64" i="23"/>
  <c r="D47" i="23"/>
  <c r="D44" i="23"/>
  <c r="F44" i="23"/>
  <c r="H44" i="23"/>
  <c r="G44" i="23"/>
  <c r="I44" i="23"/>
  <c r="J14" i="10"/>
  <c r="H14" i="10"/>
  <c r="F14" i="10"/>
  <c r="D14" i="10"/>
  <c r="D2" i="29" l="1"/>
  <c r="D3" i="29"/>
  <c r="C3" i="29"/>
  <c r="C2" i="29"/>
  <c r="C43" i="33"/>
  <c r="B26" i="33"/>
  <c r="B43" i="33"/>
  <c r="B27" i="33" s="1"/>
  <c r="B25" i="33"/>
  <c r="L4" i="32"/>
  <c r="C7" i="29"/>
  <c r="J7" i="29"/>
  <c r="P7" i="29"/>
  <c r="C19" i="33"/>
  <c r="B20" i="33" s="1"/>
  <c r="C11" i="33"/>
  <c r="B12" i="33" s="1"/>
  <c r="C15" i="33"/>
  <c r="B16" i="33" s="1"/>
  <c r="C7" i="33"/>
  <c r="B8" i="33" s="1"/>
  <c r="C25" i="28"/>
  <c r="M4" i="32"/>
  <c r="K7" i="29"/>
  <c r="Q7" i="29"/>
  <c r="D7" i="29"/>
  <c r="J7" i="26"/>
  <c r="J115" i="26" s="1"/>
  <c r="J11" i="26"/>
  <c r="I7" i="26"/>
  <c r="I115" i="26" s="1"/>
  <c r="I11" i="26"/>
  <c r="E7" i="26"/>
  <c r="E115" i="26" s="1"/>
  <c r="E11" i="26"/>
  <c r="H7" i="26"/>
  <c r="H115" i="26" s="1"/>
  <c r="H11" i="26"/>
  <c r="G7" i="26"/>
  <c r="G115" i="26" s="1"/>
  <c r="G11" i="26"/>
  <c r="H114" i="26"/>
  <c r="E14" i="28"/>
  <c r="M5" i="30" s="1"/>
  <c r="C40" i="28"/>
  <c r="C41" i="28"/>
  <c r="M8" i="32" s="1"/>
  <c r="C43" i="28"/>
  <c r="C21" i="28"/>
  <c r="C24" i="28"/>
  <c r="C22" i="28"/>
  <c r="M7" i="32" s="1"/>
  <c r="M27" i="32" s="1"/>
  <c r="C12" i="28"/>
  <c r="B28" i="28"/>
  <c r="B31" i="28"/>
  <c r="B29" i="28"/>
  <c r="B21" i="28"/>
  <c r="B22" i="28"/>
  <c r="L7" i="32" s="1"/>
  <c r="L27" i="32" s="1"/>
  <c r="B24" i="28"/>
  <c r="D11" i="28"/>
  <c r="D33" i="28"/>
  <c r="D39" i="28"/>
  <c r="D27" i="28"/>
  <c r="D20" i="28"/>
  <c r="C34" i="28"/>
  <c r="C37" i="28"/>
  <c r="C35" i="28"/>
  <c r="C28" i="28"/>
  <c r="C31" i="28"/>
  <c r="C29" i="28"/>
  <c r="B25" i="28"/>
  <c r="B12" i="28"/>
  <c r="B40" i="28"/>
  <c r="B43" i="28"/>
  <c r="B41" i="28"/>
  <c r="L8" i="32" s="1"/>
  <c r="B34" i="28"/>
  <c r="B35" i="28"/>
  <c r="B37" i="28"/>
  <c r="D53" i="15"/>
  <c r="D40" i="15" s="1"/>
  <c r="E34" i="23"/>
  <c r="E42" i="23" s="1"/>
  <c r="E41" i="23"/>
  <c r="F35" i="23"/>
  <c r="H35" i="23"/>
  <c r="B24" i="23"/>
  <c r="I43" i="23"/>
  <c r="I35" i="23"/>
  <c r="G43" i="23"/>
  <c r="G35" i="23"/>
  <c r="D35" i="23"/>
  <c r="G53" i="15"/>
  <c r="G40" i="15" s="1"/>
  <c r="B34" i="23"/>
  <c r="B42" i="23" s="1"/>
  <c r="B41" i="23"/>
  <c r="C34" i="23"/>
  <c r="C42" i="23" s="1"/>
  <c r="C41" i="23"/>
  <c r="B37" i="23"/>
  <c r="B7" i="23" s="1"/>
  <c r="H6" i="12"/>
  <c r="Q10" i="14" s="1"/>
  <c r="D6" i="12"/>
  <c r="M10" i="14" s="1"/>
  <c r="I6" i="12"/>
  <c r="R10" i="14" s="1"/>
  <c r="E6" i="12"/>
  <c r="N10" i="14" s="1"/>
  <c r="J6" i="12"/>
  <c r="S10" i="14" s="1"/>
  <c r="F6" i="12"/>
  <c r="O10" i="14" s="1"/>
  <c r="C6" i="12"/>
  <c r="L10" i="14" s="1"/>
  <c r="G6" i="12"/>
  <c r="P10" i="14" s="1"/>
  <c r="K53" i="15"/>
  <c r="K40" i="15" s="1"/>
  <c r="M53" i="15"/>
  <c r="M40" i="15" s="1"/>
  <c r="I53" i="15"/>
  <c r="I40" i="15" s="1"/>
  <c r="G52" i="15"/>
  <c r="G39" i="15" s="1"/>
  <c r="K52" i="15"/>
  <c r="K39" i="15" s="1"/>
  <c r="C5" i="35" s="1"/>
  <c r="E53" i="15"/>
  <c r="E40" i="15" s="1"/>
  <c r="I52" i="15"/>
  <c r="I39" i="15" s="1"/>
  <c r="M52" i="15"/>
  <c r="M39" i="15" s="1"/>
  <c r="E5" i="35" s="1"/>
  <c r="C59" i="23"/>
  <c r="C39" i="23" s="1"/>
  <c r="D3" i="26" s="1"/>
  <c r="D11" i="26" s="1"/>
  <c r="B39" i="23"/>
  <c r="C3" i="26" s="1"/>
  <c r="C11" i="26" s="1"/>
  <c r="E122" i="26" l="1"/>
  <c r="J122" i="26"/>
  <c r="I120" i="26"/>
  <c r="J114" i="26"/>
  <c r="E118" i="26"/>
  <c r="I116" i="26"/>
  <c r="J118" i="26"/>
  <c r="G120" i="26"/>
  <c r="H122" i="26"/>
  <c r="G116" i="26"/>
  <c r="H118" i="26"/>
  <c r="E2" i="29"/>
  <c r="E3" i="29"/>
  <c r="I122" i="26"/>
  <c r="I118" i="26"/>
  <c r="I114" i="26"/>
  <c r="J120" i="26"/>
  <c r="J116" i="26"/>
  <c r="G122" i="26"/>
  <c r="G118" i="26"/>
  <c r="G114" i="26"/>
  <c r="H120" i="26"/>
  <c r="H116" i="26"/>
  <c r="E114" i="26"/>
  <c r="E120" i="26"/>
  <c r="E116" i="26"/>
  <c r="E123" i="26"/>
  <c r="E121" i="26"/>
  <c r="E119" i="26"/>
  <c r="E117" i="26"/>
  <c r="I123" i="26"/>
  <c r="I121" i="26"/>
  <c r="I119" i="26"/>
  <c r="I117" i="26"/>
  <c r="J123" i="26"/>
  <c r="J121" i="26"/>
  <c r="J119" i="26"/>
  <c r="J117" i="26"/>
  <c r="G123" i="26"/>
  <c r="G121" i="26"/>
  <c r="G119" i="26"/>
  <c r="G117" i="26"/>
  <c r="H123" i="26"/>
  <c r="H121" i="26"/>
  <c r="H119" i="26"/>
  <c r="H117" i="26"/>
  <c r="D25" i="28"/>
  <c r="N4" i="32"/>
  <c r="L7" i="29"/>
  <c r="R7" i="29"/>
  <c r="E7" i="29"/>
  <c r="F4" i="30"/>
  <c r="F198" i="30" s="1"/>
  <c r="C8" i="26"/>
  <c r="D8" i="26" s="1"/>
  <c r="T5" i="30"/>
  <c r="F3" i="30"/>
  <c r="F5" i="30" s="1"/>
  <c r="B14" i="28"/>
  <c r="C3" i="30" s="1"/>
  <c r="D28" i="28"/>
  <c r="D31" i="28"/>
  <c r="D29" i="28"/>
  <c r="D34" i="28"/>
  <c r="D37" i="28"/>
  <c r="D35" i="28"/>
  <c r="D21" i="28"/>
  <c r="D24" i="28"/>
  <c r="D22" i="28"/>
  <c r="N7" i="32" s="1"/>
  <c r="N27" i="32" s="1"/>
  <c r="D40" i="28"/>
  <c r="D43" i="28"/>
  <c r="D41" i="28"/>
  <c r="N8" i="32" s="1"/>
  <c r="D12" i="28"/>
  <c r="C14" i="28"/>
  <c r="E43" i="23"/>
  <c r="E35" i="23"/>
  <c r="C43" i="23"/>
  <c r="C35" i="23"/>
  <c r="B26" i="23"/>
  <c r="B43" i="23"/>
  <c r="B25" i="23"/>
  <c r="B35" i="23"/>
  <c r="B23" i="23"/>
  <c r="M4" i="30" l="1"/>
  <c r="M72" i="30" s="1"/>
  <c r="F72" i="30"/>
  <c r="F73" i="30"/>
  <c r="F74" i="30"/>
  <c r="F75" i="30"/>
  <c r="F76" i="30"/>
  <c r="F77" i="30"/>
  <c r="F78" i="30"/>
  <c r="F79" i="30"/>
  <c r="F80" i="30"/>
  <c r="F81" i="30"/>
  <c r="F82" i="30"/>
  <c r="F83" i="30"/>
  <c r="F84" i="30"/>
  <c r="F85" i="30"/>
  <c r="F86" i="30"/>
  <c r="F87" i="30"/>
  <c r="F88" i="30"/>
  <c r="F89" i="30"/>
  <c r="F90" i="30"/>
  <c r="F91" i="30"/>
  <c r="F92" i="30"/>
  <c r="F93" i="30"/>
  <c r="F94" i="30"/>
  <c r="F95" i="30"/>
  <c r="F96" i="30"/>
  <c r="M93" i="30"/>
  <c r="M89" i="30"/>
  <c r="M85" i="30"/>
  <c r="M81" i="30"/>
  <c r="M77" i="30"/>
  <c r="M73" i="30"/>
  <c r="M95" i="30"/>
  <c r="M91" i="30"/>
  <c r="M87" i="30"/>
  <c r="M83" i="30"/>
  <c r="M79" i="30"/>
  <c r="M75" i="30"/>
  <c r="M96" i="30"/>
  <c r="M94" i="30"/>
  <c r="M92" i="30"/>
  <c r="M90" i="30"/>
  <c r="M88" i="30"/>
  <c r="M86" i="30"/>
  <c r="M84" i="30"/>
  <c r="M82" i="30"/>
  <c r="M80" i="30"/>
  <c r="M78" i="30"/>
  <c r="M76" i="30"/>
  <c r="M74" i="30"/>
  <c r="Q5" i="30"/>
  <c r="E8" i="26"/>
  <c r="F8" i="26" s="1"/>
  <c r="M3" i="30"/>
  <c r="T3" i="30" s="1"/>
  <c r="J5" i="30"/>
  <c r="D14" i="28"/>
  <c r="S5" i="30" s="1"/>
  <c r="F71" i="30"/>
  <c r="F69" i="30"/>
  <c r="F67" i="30"/>
  <c r="F65" i="30"/>
  <c r="F63" i="30"/>
  <c r="F61" i="30"/>
  <c r="F59" i="30"/>
  <c r="F57" i="30"/>
  <c r="F199" i="30"/>
  <c r="F70" i="30"/>
  <c r="F68" i="30"/>
  <c r="F66" i="30"/>
  <c r="F64" i="30"/>
  <c r="F62" i="30"/>
  <c r="F60" i="30"/>
  <c r="F58" i="30"/>
  <c r="T4" i="30"/>
  <c r="T72" i="30" s="1"/>
  <c r="M60" i="30"/>
  <c r="M68" i="30"/>
  <c r="M61" i="30"/>
  <c r="M69" i="30"/>
  <c r="M62" i="30"/>
  <c r="M59" i="30"/>
  <c r="M67" i="30"/>
  <c r="M70" i="30"/>
  <c r="M64" i="30"/>
  <c r="M57" i="30"/>
  <c r="M65" i="30"/>
  <c r="M58" i="30"/>
  <c r="M66" i="30"/>
  <c r="M63" i="30"/>
  <c r="M71" i="30"/>
  <c r="D3" i="30"/>
  <c r="K5" i="30"/>
  <c r="R5" i="30"/>
  <c r="C5" i="30"/>
  <c r="J3" i="30"/>
  <c r="Q3" i="30" s="1"/>
  <c r="L5" i="30"/>
  <c r="B27" i="23"/>
  <c r="B23" i="6"/>
  <c r="C23" i="6"/>
  <c r="C30" i="6" s="1"/>
  <c r="D23" i="6"/>
  <c r="E23" i="6"/>
  <c r="E30" i="6" s="1"/>
  <c r="F23" i="6"/>
  <c r="F30" i="6" s="1"/>
  <c r="G23" i="6"/>
  <c r="G30" i="6" s="1"/>
  <c r="H23" i="6"/>
  <c r="H30" i="6" s="1"/>
  <c r="I23" i="6"/>
  <c r="I30" i="6" s="1"/>
  <c r="D30" i="6"/>
  <c r="D6" i="6"/>
  <c r="X10" i="14" s="1"/>
  <c r="E6" i="6"/>
  <c r="Y10" i="14" s="1"/>
  <c r="F6" i="6"/>
  <c r="Z10" i="14" s="1"/>
  <c r="G6" i="6"/>
  <c r="AA10" i="14" s="1"/>
  <c r="H6" i="6"/>
  <c r="AB10" i="14" s="1"/>
  <c r="I6" i="6"/>
  <c r="AC10" i="14" s="1"/>
  <c r="D7" i="6"/>
  <c r="AG10" i="14" s="1"/>
  <c r="E7" i="6"/>
  <c r="AH10" i="14" s="1"/>
  <c r="F7" i="6"/>
  <c r="AI10" i="14" s="1"/>
  <c r="G7" i="6"/>
  <c r="AJ10" i="14" s="1"/>
  <c r="H7" i="6"/>
  <c r="AK10" i="14" s="1"/>
  <c r="I7" i="6"/>
  <c r="AL10" i="14" s="1"/>
  <c r="C6" i="6"/>
  <c r="W10" i="14" s="1"/>
  <c r="C7" i="6"/>
  <c r="AF10" i="14" s="1"/>
  <c r="C36" i="6"/>
  <c r="C42" i="6" s="1"/>
  <c r="D36" i="6"/>
  <c r="D42" i="6" s="1"/>
  <c r="E36" i="6"/>
  <c r="E42" i="6" s="1"/>
  <c r="F36" i="6"/>
  <c r="F42" i="6" s="1"/>
  <c r="G36" i="6"/>
  <c r="G42" i="6" s="1"/>
  <c r="H36" i="6"/>
  <c r="H42" i="6" s="1"/>
  <c r="I36" i="6"/>
  <c r="I42" i="6" s="1"/>
  <c r="B36" i="6"/>
  <c r="B42" i="6" s="1"/>
  <c r="C30" i="15"/>
  <c r="O51" i="31" l="1"/>
  <c r="F51" i="31"/>
  <c r="T95" i="30"/>
  <c r="T91" i="30"/>
  <c r="T87" i="30"/>
  <c r="T83" i="30"/>
  <c r="T79" i="30"/>
  <c r="T75" i="30"/>
  <c r="T93" i="30"/>
  <c r="T89" i="30"/>
  <c r="T85" i="30"/>
  <c r="T81" i="30"/>
  <c r="T77" i="30"/>
  <c r="T73" i="30"/>
  <c r="T96" i="30"/>
  <c r="T94" i="30"/>
  <c r="T92" i="30"/>
  <c r="T90" i="30"/>
  <c r="T88" i="30"/>
  <c r="T86" i="30"/>
  <c r="T84" i="30"/>
  <c r="T82" i="30"/>
  <c r="T80" i="30"/>
  <c r="T78" i="30"/>
  <c r="T76" i="30"/>
  <c r="T74" i="30"/>
  <c r="G8" i="26"/>
  <c r="H8" i="26" s="1"/>
  <c r="E3" i="30"/>
  <c r="E5" i="30" s="1"/>
  <c r="E8" i="30"/>
  <c r="D8" i="30"/>
  <c r="C8" i="30"/>
  <c r="N33" i="15"/>
  <c r="F10" i="29" s="1"/>
  <c r="M10" i="29" s="1"/>
  <c r="S10" i="29" s="1"/>
  <c r="F8" i="30"/>
  <c r="N44" i="15"/>
  <c r="D5" i="30"/>
  <c r="K3" i="30"/>
  <c r="R3" i="30" s="1"/>
  <c r="C199" i="30"/>
  <c r="T67" i="30"/>
  <c r="T59" i="30"/>
  <c r="T66" i="30"/>
  <c r="T58" i="30"/>
  <c r="T65" i="30"/>
  <c r="T57" i="30"/>
  <c r="T64" i="30"/>
  <c r="T71" i="30"/>
  <c r="T63" i="30"/>
  <c r="T70" i="30"/>
  <c r="T62" i="30"/>
  <c r="T69" i="30"/>
  <c r="T61" i="30"/>
  <c r="T68" i="30"/>
  <c r="T60" i="30"/>
  <c r="E8" i="10"/>
  <c r="G8" i="10"/>
  <c r="I8" i="10"/>
  <c r="C8" i="10"/>
  <c r="C44" i="15"/>
  <c r="D8" i="10"/>
  <c r="F8" i="10"/>
  <c r="H8" i="10"/>
  <c r="J8" i="10"/>
  <c r="E44" i="15"/>
  <c r="E4" i="25"/>
  <c r="I4" i="25"/>
  <c r="B47" i="23"/>
  <c r="B52" i="23"/>
  <c r="B57" i="23"/>
  <c r="B62" i="23"/>
  <c r="E33" i="15"/>
  <c r="E10" i="12" s="1"/>
  <c r="M33" i="15"/>
  <c r="E10" i="29" s="1"/>
  <c r="L10" i="29" s="1"/>
  <c r="R10" i="29" s="1"/>
  <c r="I33" i="15"/>
  <c r="I10" i="12" s="1"/>
  <c r="K33" i="15"/>
  <c r="G33" i="15"/>
  <c r="G10" i="12" s="1"/>
  <c r="H13" i="6"/>
  <c r="F13" i="6"/>
  <c r="D13" i="6"/>
  <c r="I13" i="6"/>
  <c r="G13" i="6"/>
  <c r="E13" i="6"/>
  <c r="C13" i="6"/>
  <c r="B30" i="6"/>
  <c r="B13" i="6" s="1"/>
  <c r="L44" i="15"/>
  <c r="J44" i="15"/>
  <c r="H44" i="15"/>
  <c r="F44" i="15"/>
  <c r="D44" i="15"/>
  <c r="C33" i="15"/>
  <c r="L33" i="15"/>
  <c r="D10" i="29" s="1"/>
  <c r="K10" i="29" s="1"/>
  <c r="Q10" i="29" s="1"/>
  <c r="J33" i="15"/>
  <c r="J10" i="12" s="1"/>
  <c r="H33" i="15"/>
  <c r="H10" i="12" s="1"/>
  <c r="F33" i="15"/>
  <c r="F10" i="12" s="1"/>
  <c r="D33" i="15"/>
  <c r="D10" i="12" s="1"/>
  <c r="M44" i="15"/>
  <c r="K44" i="15"/>
  <c r="I44" i="15"/>
  <c r="G44" i="15"/>
  <c r="Y51" i="31" l="1"/>
  <c r="L3" i="30"/>
  <c r="S3" i="30" s="1"/>
  <c r="C10" i="29"/>
  <c r="J10" i="29" s="1"/>
  <c r="P10" i="29" s="1"/>
  <c r="C8" i="34"/>
  <c r="E5" i="25"/>
  <c r="E6" i="25" s="1"/>
  <c r="E12" i="25"/>
  <c r="E11" i="25"/>
  <c r="I11" i="25"/>
  <c r="I12" i="25"/>
  <c r="I8" i="26"/>
  <c r="J8" i="26" s="1"/>
  <c r="M8" i="30"/>
  <c r="T8" i="30" s="1"/>
  <c r="F202" i="30"/>
  <c r="K8" i="30"/>
  <c r="R8" i="30" s="1"/>
  <c r="D202" i="30"/>
  <c r="N47" i="15"/>
  <c r="N46" i="15"/>
  <c r="C202" i="30"/>
  <c r="J8" i="30"/>
  <c r="Q8" i="30" s="1"/>
  <c r="L8" i="30"/>
  <c r="S8" i="30" s="1"/>
  <c r="E202" i="30"/>
  <c r="D199" i="30"/>
  <c r="E199" i="30"/>
  <c r="C8" i="25"/>
  <c r="C10" i="12"/>
  <c r="I5" i="25"/>
  <c r="I6" i="25" s="1"/>
  <c r="E6" i="26"/>
  <c r="C47" i="23"/>
  <c r="C52" i="23"/>
  <c r="E52" i="23"/>
  <c r="E47" i="23"/>
  <c r="D131" i="10"/>
  <c r="A41" i="14"/>
  <c r="A37" i="14"/>
  <c r="E86" i="26" l="1"/>
  <c r="E87" i="26"/>
  <c r="E88" i="26"/>
  <c r="E89" i="26"/>
  <c r="E90" i="26"/>
  <c r="E91" i="26"/>
  <c r="E92" i="26"/>
  <c r="E93" i="26"/>
  <c r="E94" i="26"/>
  <c r="E95" i="26"/>
  <c r="M8" i="10"/>
  <c r="W8" i="10" s="1"/>
  <c r="C131" i="10"/>
  <c r="O8" i="10"/>
  <c r="Y8" i="10" s="1"/>
  <c r="E131" i="10"/>
  <c r="S8" i="10"/>
  <c r="AC8" i="10" s="1"/>
  <c r="I131" i="10"/>
  <c r="Q8" i="10"/>
  <c r="AA8" i="10" s="1"/>
  <c r="G131" i="10"/>
  <c r="R8" i="10"/>
  <c r="AB8" i="10" s="1"/>
  <c r="H131" i="10"/>
  <c r="T8" i="10"/>
  <c r="AD8" i="10" s="1"/>
  <c r="J131" i="10"/>
  <c r="P8" i="10"/>
  <c r="Z8" i="10" s="1"/>
  <c r="F131" i="10"/>
  <c r="I6" i="26"/>
  <c r="E102" i="26"/>
  <c r="E108" i="26"/>
  <c r="E100" i="26"/>
  <c r="E104" i="26"/>
  <c r="E113" i="26"/>
  <c r="E110" i="26"/>
  <c r="E111" i="26"/>
  <c r="E105" i="26"/>
  <c r="E107" i="26"/>
  <c r="E109" i="26"/>
  <c r="E106" i="26"/>
  <c r="E103" i="26"/>
  <c r="E99" i="26"/>
  <c r="E101" i="26"/>
  <c r="E112" i="26"/>
  <c r="N8" i="10"/>
  <c r="X8" i="10" s="1"/>
  <c r="D10" i="6"/>
  <c r="D37" i="23" s="1"/>
  <c r="G10" i="6"/>
  <c r="G37" i="23" s="1"/>
  <c r="I10" i="6"/>
  <c r="I37" i="23" s="1"/>
  <c r="C10" i="6"/>
  <c r="I86" i="26" l="1"/>
  <c r="I87" i="26"/>
  <c r="I88" i="26"/>
  <c r="I89" i="26"/>
  <c r="I90" i="26"/>
  <c r="I91" i="26"/>
  <c r="I92" i="26"/>
  <c r="I93" i="26"/>
  <c r="I94" i="26"/>
  <c r="I95" i="26"/>
  <c r="D7" i="23"/>
  <c r="D11" i="23"/>
  <c r="I102" i="26"/>
  <c r="I108" i="26"/>
  <c r="I110" i="26"/>
  <c r="I112" i="26"/>
  <c r="I109" i="26"/>
  <c r="I101" i="26"/>
  <c r="I107" i="26"/>
  <c r="I99" i="26"/>
  <c r="I111" i="26"/>
  <c r="I100" i="26"/>
  <c r="I104" i="26"/>
  <c r="I106" i="26"/>
  <c r="I113" i="26"/>
  <c r="I105" i="26"/>
  <c r="I103" i="26"/>
  <c r="I19" i="23"/>
  <c r="I7" i="23"/>
  <c r="I15" i="23"/>
  <c r="G11" i="23"/>
  <c r="G7" i="23"/>
  <c r="D19" i="23"/>
  <c r="D15" i="23"/>
  <c r="C37" i="23"/>
  <c r="C15" i="23" s="1"/>
  <c r="E10" i="6"/>
  <c r="E37" i="23" s="1"/>
  <c r="H10" i="6"/>
  <c r="F10" i="6"/>
  <c r="F37" i="23" s="1"/>
  <c r="D30" i="15"/>
  <c r="D27" i="15"/>
  <c r="E30" i="15"/>
  <c r="F30" i="15"/>
  <c r="G30" i="15"/>
  <c r="H30" i="15"/>
  <c r="I30" i="15"/>
  <c r="J30" i="15"/>
  <c r="K30" i="15"/>
  <c r="L30" i="15"/>
  <c r="M30" i="15"/>
  <c r="D31" i="15"/>
  <c r="E31" i="15"/>
  <c r="F31" i="15"/>
  <c r="G31" i="15"/>
  <c r="H31" i="15"/>
  <c r="I31" i="15"/>
  <c r="J31" i="15"/>
  <c r="K31" i="15"/>
  <c r="L31" i="15"/>
  <c r="M31" i="15"/>
  <c r="C31" i="15"/>
  <c r="E27" i="15"/>
  <c r="F27" i="15"/>
  <c r="G27" i="15"/>
  <c r="H27" i="15"/>
  <c r="I27" i="15"/>
  <c r="J27" i="15"/>
  <c r="K27" i="15"/>
  <c r="L27" i="15"/>
  <c r="M27" i="15"/>
  <c r="D28" i="15"/>
  <c r="E28" i="15"/>
  <c r="F28" i="15"/>
  <c r="G28" i="15"/>
  <c r="H28" i="15"/>
  <c r="I28" i="15"/>
  <c r="J28" i="15"/>
  <c r="K28" i="15"/>
  <c r="L28" i="15"/>
  <c r="M28" i="15"/>
  <c r="C27" i="15"/>
  <c r="C28" i="15"/>
  <c r="D42" i="15"/>
  <c r="E42" i="15"/>
  <c r="F42" i="15"/>
  <c r="G42" i="15"/>
  <c r="H42" i="15"/>
  <c r="I42" i="15"/>
  <c r="J42" i="15"/>
  <c r="K42" i="15"/>
  <c r="L42" i="15"/>
  <c r="M42" i="15"/>
  <c r="D21" i="15"/>
  <c r="D36" i="15" s="1"/>
  <c r="D37" i="15" s="1"/>
  <c r="E21" i="15"/>
  <c r="E36" i="15" s="1"/>
  <c r="E37" i="15" s="1"/>
  <c r="F21" i="15"/>
  <c r="F36" i="15" s="1"/>
  <c r="F37" i="15" s="1"/>
  <c r="G21" i="15"/>
  <c r="G36" i="15" s="1"/>
  <c r="G37" i="15" s="1"/>
  <c r="G4" i="26" s="1"/>
  <c r="H21" i="15"/>
  <c r="H36" i="15" s="1"/>
  <c r="H37" i="15" s="1"/>
  <c r="H4" i="26" s="1"/>
  <c r="I21" i="15"/>
  <c r="I36" i="15" s="1"/>
  <c r="I37" i="15" s="1"/>
  <c r="I4" i="26" s="1"/>
  <c r="J21" i="15"/>
  <c r="J36" i="15" s="1"/>
  <c r="J37" i="15" s="1"/>
  <c r="J4" i="26" s="1"/>
  <c r="K21" i="15"/>
  <c r="K36" i="15" s="1"/>
  <c r="K37" i="15" s="1"/>
  <c r="L21" i="15"/>
  <c r="L36" i="15" s="1"/>
  <c r="L37" i="15" s="1"/>
  <c r="M21" i="15"/>
  <c r="M36" i="15" s="1"/>
  <c r="M37" i="15" s="1"/>
  <c r="C21" i="15"/>
  <c r="D4" i="30" l="1"/>
  <c r="D4" i="35"/>
  <c r="E4" i="30"/>
  <c r="E4" i="35"/>
  <c r="E9" i="35" s="1"/>
  <c r="C4" i="30"/>
  <c r="C78" i="30" s="1"/>
  <c r="C4" i="35"/>
  <c r="F4" i="26"/>
  <c r="D4" i="26"/>
  <c r="C74" i="30"/>
  <c r="C82" i="30"/>
  <c r="C86" i="30"/>
  <c r="C90" i="30"/>
  <c r="C94" i="30"/>
  <c r="C73" i="30"/>
  <c r="C77" i="30"/>
  <c r="C81" i="30"/>
  <c r="C85" i="30"/>
  <c r="C89" i="30"/>
  <c r="C93" i="30"/>
  <c r="C72" i="30"/>
  <c r="C76" i="30"/>
  <c r="C80" i="30"/>
  <c r="C84" i="30"/>
  <c r="C88" i="30"/>
  <c r="C92" i="30"/>
  <c r="C96" i="30"/>
  <c r="C75" i="30"/>
  <c r="C79" i="30"/>
  <c r="C83" i="30"/>
  <c r="C87" i="30"/>
  <c r="C91" i="30"/>
  <c r="C95" i="30"/>
  <c r="E4" i="26"/>
  <c r="E74" i="30"/>
  <c r="E78" i="30"/>
  <c r="E82" i="30"/>
  <c r="E86" i="30"/>
  <c r="E90" i="30"/>
  <c r="E94" i="30"/>
  <c r="E73" i="30"/>
  <c r="E77" i="30"/>
  <c r="E81" i="30"/>
  <c r="E85" i="30"/>
  <c r="E89" i="30"/>
  <c r="E93" i="30"/>
  <c r="E72" i="30"/>
  <c r="E76" i="30"/>
  <c r="E80" i="30"/>
  <c r="E84" i="30"/>
  <c r="E88" i="30"/>
  <c r="E92" i="30"/>
  <c r="E96" i="30"/>
  <c r="E75" i="30"/>
  <c r="E79" i="30"/>
  <c r="E83" i="30"/>
  <c r="E87" i="30"/>
  <c r="E91" i="30"/>
  <c r="E95" i="30"/>
  <c r="D72" i="30"/>
  <c r="D74" i="30"/>
  <c r="D76" i="30"/>
  <c r="D78" i="30"/>
  <c r="D80" i="30"/>
  <c r="D82" i="30"/>
  <c r="D84" i="30"/>
  <c r="D86" i="30"/>
  <c r="D88" i="30"/>
  <c r="D90" i="30"/>
  <c r="D92" i="30"/>
  <c r="D94" i="30"/>
  <c r="D96" i="30"/>
  <c r="D73" i="30"/>
  <c r="D75" i="30"/>
  <c r="D77" i="30"/>
  <c r="D79" i="30"/>
  <c r="D81" i="30"/>
  <c r="D83" i="30"/>
  <c r="D85" i="30"/>
  <c r="D87" i="30"/>
  <c r="D89" i="30"/>
  <c r="D91" i="30"/>
  <c r="D93" i="30"/>
  <c r="D95" i="30"/>
  <c r="E198" i="30"/>
  <c r="L4" i="30"/>
  <c r="E69" i="30"/>
  <c r="E65" i="30"/>
  <c r="E61" i="30"/>
  <c r="E57" i="30"/>
  <c r="E70" i="30"/>
  <c r="E66" i="30"/>
  <c r="E62" i="30"/>
  <c r="E58" i="30"/>
  <c r="E71" i="30"/>
  <c r="E67" i="30"/>
  <c r="E63" i="30"/>
  <c r="E59" i="30"/>
  <c r="E68" i="30"/>
  <c r="E64" i="30"/>
  <c r="E60" i="30"/>
  <c r="C198" i="30"/>
  <c r="J4" i="30"/>
  <c r="C69" i="30"/>
  <c r="C65" i="30"/>
  <c r="C61" i="30"/>
  <c r="C57" i="30"/>
  <c r="C70" i="30"/>
  <c r="C66" i="30"/>
  <c r="C62" i="30"/>
  <c r="C58" i="30"/>
  <c r="C71" i="30"/>
  <c r="C67" i="30"/>
  <c r="C63" i="30"/>
  <c r="C59" i="30"/>
  <c r="C68" i="30"/>
  <c r="C64" i="30"/>
  <c r="C60" i="30"/>
  <c r="K4" i="30"/>
  <c r="D198" i="30"/>
  <c r="D69" i="30"/>
  <c r="D65" i="30"/>
  <c r="D61" i="30"/>
  <c r="D57" i="30"/>
  <c r="D70" i="30"/>
  <c r="D66" i="30"/>
  <c r="D62" i="30"/>
  <c r="D58" i="30"/>
  <c r="D71" i="30"/>
  <c r="D67" i="30"/>
  <c r="D63" i="30"/>
  <c r="D59" i="30"/>
  <c r="D68" i="30"/>
  <c r="D64" i="30"/>
  <c r="D60" i="30"/>
  <c r="E19" i="23"/>
  <c r="E15" i="23"/>
  <c r="F11" i="23"/>
  <c r="F7" i="23"/>
  <c r="B15" i="23"/>
  <c r="B11" i="23"/>
  <c r="B19" i="23"/>
  <c r="C36" i="15"/>
  <c r="C37" i="15" s="1"/>
  <c r="I5" i="26"/>
  <c r="I67" i="26" s="1"/>
  <c r="I39" i="26" s="1"/>
  <c r="G5" i="26"/>
  <c r="G67" i="26" s="1"/>
  <c r="E5" i="26"/>
  <c r="E67" i="26" s="1"/>
  <c r="E39" i="26" s="1"/>
  <c r="J5" i="26"/>
  <c r="J67" i="26" s="1"/>
  <c r="H5" i="26"/>
  <c r="H67" i="26" s="1"/>
  <c r="F5" i="26"/>
  <c r="D5" i="26"/>
  <c r="D67" i="26" s="1"/>
  <c r="L47" i="15"/>
  <c r="L46" i="15"/>
  <c r="J47" i="15"/>
  <c r="J46" i="15"/>
  <c r="H47" i="15"/>
  <c r="H46" i="15"/>
  <c r="D47" i="15"/>
  <c r="D46" i="15"/>
  <c r="M46" i="15"/>
  <c r="M47" i="15"/>
  <c r="K47" i="15"/>
  <c r="K46" i="15"/>
  <c r="I46" i="15"/>
  <c r="I47" i="15"/>
  <c r="G47" i="15"/>
  <c r="G46" i="15"/>
  <c r="E46" i="15"/>
  <c r="E47" i="15"/>
  <c r="F47" i="15"/>
  <c r="F46" i="15"/>
  <c r="F67" i="26" l="1"/>
  <c r="B20" i="23"/>
  <c r="D51" i="31"/>
  <c r="E86" i="35"/>
  <c r="E43" i="35" s="1"/>
  <c r="E90" i="35"/>
  <c r="E47" i="35" s="1"/>
  <c r="E94" i="35"/>
  <c r="E51" i="35" s="1"/>
  <c r="E82" i="35"/>
  <c r="E39" i="35" s="1"/>
  <c r="E78" i="35"/>
  <c r="E35" i="35" s="1"/>
  <c r="E74" i="35"/>
  <c r="E31" i="35" s="1"/>
  <c r="E70" i="35"/>
  <c r="E27" i="35" s="1"/>
  <c r="E66" i="35"/>
  <c r="E23" i="35" s="1"/>
  <c r="E62" i="35"/>
  <c r="E19" i="35" s="1"/>
  <c r="E58" i="35"/>
  <c r="E15" i="35" s="1"/>
  <c r="E85" i="35"/>
  <c r="E42" i="35" s="1"/>
  <c r="E89" i="35"/>
  <c r="E46" i="35" s="1"/>
  <c r="E93" i="35"/>
  <c r="E50" i="35" s="1"/>
  <c r="E97" i="35"/>
  <c r="E54" i="35" s="1"/>
  <c r="E79" i="35"/>
  <c r="E36" i="35" s="1"/>
  <c r="E75" i="35"/>
  <c r="E32" i="35" s="1"/>
  <c r="E71" i="35"/>
  <c r="E28" i="35" s="1"/>
  <c r="E67" i="35"/>
  <c r="E24" i="35" s="1"/>
  <c r="E63" i="35"/>
  <c r="E20" i="35" s="1"/>
  <c r="E59" i="35"/>
  <c r="E16" i="35" s="1"/>
  <c r="E84" i="35"/>
  <c r="E41" i="35" s="1"/>
  <c r="E88" i="35"/>
  <c r="E45" i="35" s="1"/>
  <c r="E92" i="35"/>
  <c r="E49" i="35" s="1"/>
  <c r="E96" i="35"/>
  <c r="E53" i="35" s="1"/>
  <c r="E80" i="35"/>
  <c r="E37" i="35" s="1"/>
  <c r="E76" i="35"/>
  <c r="E33" i="35" s="1"/>
  <c r="E72" i="35"/>
  <c r="E29" i="35" s="1"/>
  <c r="E68" i="35"/>
  <c r="E25" i="35" s="1"/>
  <c r="E64" i="35"/>
  <c r="E21" i="35" s="1"/>
  <c r="E60" i="35"/>
  <c r="E17" i="35" s="1"/>
  <c r="E83" i="35"/>
  <c r="E40" i="35" s="1"/>
  <c r="E87" i="35"/>
  <c r="E44" i="35" s="1"/>
  <c r="E91" i="35"/>
  <c r="E48" i="35" s="1"/>
  <c r="E95" i="35"/>
  <c r="E52" i="35" s="1"/>
  <c r="E81" i="35"/>
  <c r="E38" i="35" s="1"/>
  <c r="E77" i="35"/>
  <c r="E34" i="35" s="1"/>
  <c r="E73" i="35"/>
  <c r="E30" i="35" s="1"/>
  <c r="E69" i="35"/>
  <c r="E26" i="35" s="1"/>
  <c r="E65" i="35"/>
  <c r="E22" i="35" s="1"/>
  <c r="E61" i="35"/>
  <c r="E18" i="35" s="1"/>
  <c r="D86" i="35"/>
  <c r="D90" i="35"/>
  <c r="D94" i="35"/>
  <c r="D81" i="35"/>
  <c r="D77" i="35"/>
  <c r="D73" i="35"/>
  <c r="D69" i="35"/>
  <c r="D65" i="35"/>
  <c r="D61" i="35"/>
  <c r="D83" i="35"/>
  <c r="D87" i="35"/>
  <c r="D91" i="35"/>
  <c r="D95" i="35"/>
  <c r="D82" i="35"/>
  <c r="D78" i="35"/>
  <c r="D74" i="35"/>
  <c r="D70" i="35"/>
  <c r="D66" i="35"/>
  <c r="D62" i="35"/>
  <c r="D58" i="35"/>
  <c r="D84" i="35"/>
  <c r="D88" i="35"/>
  <c r="D92" i="35"/>
  <c r="D96" i="35"/>
  <c r="D79" i="35"/>
  <c r="D75" i="35"/>
  <c r="D71" i="35"/>
  <c r="D67" i="35"/>
  <c r="D63" i="35"/>
  <c r="D59" i="35"/>
  <c r="D85" i="35"/>
  <c r="D89" i="35"/>
  <c r="D93" i="35"/>
  <c r="D97" i="35"/>
  <c r="D80" i="35"/>
  <c r="D76" i="35"/>
  <c r="D72" i="35"/>
  <c r="D68" i="35"/>
  <c r="D64" i="35"/>
  <c r="D60" i="35"/>
  <c r="F85" i="35"/>
  <c r="F42" i="35" s="1"/>
  <c r="F89" i="35"/>
  <c r="F46" i="35" s="1"/>
  <c r="F93" i="35"/>
  <c r="F50" i="35" s="1"/>
  <c r="F97" i="35"/>
  <c r="F54" i="35" s="1"/>
  <c r="F80" i="35"/>
  <c r="F72" i="35"/>
  <c r="F62" i="35"/>
  <c r="F58" i="35"/>
  <c r="F74" i="35"/>
  <c r="F65" i="35"/>
  <c r="F84" i="35"/>
  <c r="F41" i="35" s="1"/>
  <c r="F88" i="35"/>
  <c r="F45" i="35" s="1"/>
  <c r="F92" i="35"/>
  <c r="F49" i="35" s="1"/>
  <c r="F96" i="35"/>
  <c r="F53" i="35" s="1"/>
  <c r="F79" i="35"/>
  <c r="F71" i="35"/>
  <c r="F61" i="35"/>
  <c r="F77" i="35"/>
  <c r="F68" i="35"/>
  <c r="F64" i="35"/>
  <c r="F83" i="35"/>
  <c r="F40" i="35" s="1"/>
  <c r="F87" i="35"/>
  <c r="F44" i="35" s="1"/>
  <c r="F91" i="35"/>
  <c r="F48" i="35" s="1"/>
  <c r="F95" i="35"/>
  <c r="F52" i="35" s="1"/>
  <c r="F82" i="35"/>
  <c r="F78" i="35"/>
  <c r="F70" i="35"/>
  <c r="F60" i="35"/>
  <c r="F76" i="35"/>
  <c r="F67" i="35"/>
  <c r="F63" i="35"/>
  <c r="F86" i="35"/>
  <c r="F43" i="35" s="1"/>
  <c r="F90" i="35"/>
  <c r="F47" i="35" s="1"/>
  <c r="F94" i="35"/>
  <c r="F51" i="35" s="1"/>
  <c r="F81" i="35"/>
  <c r="F73" i="35"/>
  <c r="F69" i="35"/>
  <c r="F59" i="35"/>
  <c r="F75" i="35"/>
  <c r="F66" i="35"/>
  <c r="C51" i="31"/>
  <c r="E51" i="31"/>
  <c r="K73" i="30"/>
  <c r="K75" i="30"/>
  <c r="K77" i="30"/>
  <c r="K79" i="30"/>
  <c r="K81" i="30"/>
  <c r="K83" i="30"/>
  <c r="K85" i="30"/>
  <c r="K87" i="30"/>
  <c r="K89" i="30"/>
  <c r="K91" i="30"/>
  <c r="K93" i="30"/>
  <c r="K95" i="30"/>
  <c r="K72" i="30"/>
  <c r="K74" i="30"/>
  <c r="K76" i="30"/>
  <c r="K78" i="30"/>
  <c r="K80" i="30"/>
  <c r="K82" i="30"/>
  <c r="K84" i="30"/>
  <c r="K86" i="30"/>
  <c r="K88" i="30"/>
  <c r="K90" i="30"/>
  <c r="K92" i="30"/>
  <c r="K94" i="30"/>
  <c r="K96" i="30"/>
  <c r="J72" i="30"/>
  <c r="J74" i="30"/>
  <c r="J76" i="30"/>
  <c r="J78" i="30"/>
  <c r="J80" i="30"/>
  <c r="J82" i="30"/>
  <c r="J84" i="30"/>
  <c r="J86" i="30"/>
  <c r="J88" i="30"/>
  <c r="J90" i="30"/>
  <c r="J92" i="30"/>
  <c r="J94" i="30"/>
  <c r="J96" i="30"/>
  <c r="J73" i="30"/>
  <c r="J75" i="30"/>
  <c r="J77" i="30"/>
  <c r="J79" i="30"/>
  <c r="J81" i="30"/>
  <c r="J83" i="30"/>
  <c r="J85" i="30"/>
  <c r="J87" i="30"/>
  <c r="J89" i="30"/>
  <c r="J91" i="30"/>
  <c r="J93" i="30"/>
  <c r="J95" i="30"/>
  <c r="L73" i="30"/>
  <c r="L75" i="30"/>
  <c r="L77" i="30"/>
  <c r="L79" i="30"/>
  <c r="L81" i="30"/>
  <c r="L83" i="30"/>
  <c r="L85" i="30"/>
  <c r="L87" i="30"/>
  <c r="L89" i="30"/>
  <c r="L91" i="30"/>
  <c r="L93" i="30"/>
  <c r="L72" i="30"/>
  <c r="L74" i="30"/>
  <c r="L76" i="30"/>
  <c r="L78" i="30"/>
  <c r="L80" i="30"/>
  <c r="L82" i="30"/>
  <c r="L84" i="30"/>
  <c r="L86" i="30"/>
  <c r="L88" i="30"/>
  <c r="L90" i="30"/>
  <c r="L92" i="30"/>
  <c r="L94" i="30"/>
  <c r="L96" i="30"/>
  <c r="L95" i="30"/>
  <c r="D58" i="26"/>
  <c r="D59" i="26"/>
  <c r="D60" i="26"/>
  <c r="D61" i="26"/>
  <c r="D62" i="26"/>
  <c r="D63" i="26"/>
  <c r="D64" i="26"/>
  <c r="D65" i="26"/>
  <c r="D66" i="26"/>
  <c r="H58" i="26"/>
  <c r="H59" i="26"/>
  <c r="H60" i="26"/>
  <c r="H61" i="26"/>
  <c r="H62" i="26"/>
  <c r="H63" i="26"/>
  <c r="H64" i="26"/>
  <c r="H65" i="26"/>
  <c r="H66" i="26"/>
  <c r="E58" i="26"/>
  <c r="E30" i="26" s="1"/>
  <c r="E59" i="26"/>
  <c r="E31" i="26" s="1"/>
  <c r="E60" i="26"/>
  <c r="E32" i="26" s="1"/>
  <c r="E61" i="26"/>
  <c r="E33" i="26" s="1"/>
  <c r="E62" i="26"/>
  <c r="E34" i="26" s="1"/>
  <c r="E63" i="26"/>
  <c r="E35" i="26" s="1"/>
  <c r="E64" i="26"/>
  <c r="E36" i="26" s="1"/>
  <c r="E65" i="26"/>
  <c r="E37" i="26" s="1"/>
  <c r="E66" i="26"/>
  <c r="E38" i="26" s="1"/>
  <c r="I58" i="26"/>
  <c r="I30" i="26" s="1"/>
  <c r="I59" i="26"/>
  <c r="I31" i="26" s="1"/>
  <c r="I60" i="26"/>
  <c r="I32" i="26" s="1"/>
  <c r="I61" i="26"/>
  <c r="I33" i="26" s="1"/>
  <c r="I62" i="26"/>
  <c r="I34" i="26" s="1"/>
  <c r="I63" i="26"/>
  <c r="I35" i="26" s="1"/>
  <c r="I64" i="26"/>
  <c r="I36" i="26" s="1"/>
  <c r="I65" i="26"/>
  <c r="I37" i="26" s="1"/>
  <c r="I66" i="26"/>
  <c r="I38" i="26" s="1"/>
  <c r="F58" i="26"/>
  <c r="F59" i="26"/>
  <c r="F60" i="26"/>
  <c r="F61" i="26"/>
  <c r="F62" i="26"/>
  <c r="F63" i="26"/>
  <c r="F64" i="26"/>
  <c r="F65" i="26"/>
  <c r="F66" i="26"/>
  <c r="J58" i="26"/>
  <c r="J59" i="26"/>
  <c r="J60" i="26"/>
  <c r="J61" i="26"/>
  <c r="J62" i="26"/>
  <c r="J63" i="26"/>
  <c r="J64" i="26"/>
  <c r="J65" i="26"/>
  <c r="J66" i="26"/>
  <c r="G58" i="26"/>
  <c r="G59" i="26"/>
  <c r="G60" i="26"/>
  <c r="G61" i="26"/>
  <c r="G62" i="26"/>
  <c r="G63" i="26"/>
  <c r="G64" i="26"/>
  <c r="G65" i="26"/>
  <c r="G66" i="26"/>
  <c r="S4" i="30"/>
  <c r="L61" i="30"/>
  <c r="L62" i="30"/>
  <c r="L59" i="30"/>
  <c r="L68" i="30"/>
  <c r="L57" i="30"/>
  <c r="L71" i="30"/>
  <c r="N51" i="31" s="1"/>
  <c r="L60" i="30"/>
  <c r="L69" i="30"/>
  <c r="L64" i="30"/>
  <c r="L67" i="30"/>
  <c r="L66" i="30"/>
  <c r="L65" i="30"/>
  <c r="L70" i="30"/>
  <c r="L63" i="30"/>
  <c r="L58" i="30"/>
  <c r="K63" i="30"/>
  <c r="K70" i="30"/>
  <c r="K71" i="30"/>
  <c r="M51" i="31" s="1"/>
  <c r="K61" i="30"/>
  <c r="R4" i="30"/>
  <c r="K60" i="30"/>
  <c r="K57" i="30"/>
  <c r="K58" i="30"/>
  <c r="K59" i="30"/>
  <c r="K69" i="30"/>
  <c r="K64" i="30"/>
  <c r="K62" i="30"/>
  <c r="K68" i="30"/>
  <c r="K65" i="30"/>
  <c r="K66" i="30"/>
  <c r="K67" i="30"/>
  <c r="J70" i="30"/>
  <c r="J67" i="30"/>
  <c r="J64" i="30"/>
  <c r="Q4" i="30"/>
  <c r="J65" i="30"/>
  <c r="J62" i="30"/>
  <c r="J61" i="30"/>
  <c r="J71" i="30"/>
  <c r="L51" i="31" s="1"/>
  <c r="J69" i="30"/>
  <c r="J60" i="30"/>
  <c r="J68" i="30"/>
  <c r="J57" i="30"/>
  <c r="J66" i="30"/>
  <c r="J63" i="30"/>
  <c r="J58" i="30"/>
  <c r="J59" i="30"/>
  <c r="B16" i="23"/>
  <c r="C4" i="26"/>
  <c r="C7" i="23"/>
  <c r="C11" i="23"/>
  <c r="H39" i="6"/>
  <c r="H27" i="6"/>
  <c r="E27" i="6"/>
  <c r="E39" i="6"/>
  <c r="F39" i="6"/>
  <c r="F27" i="6"/>
  <c r="G27" i="6"/>
  <c r="G39" i="6"/>
  <c r="B39" i="6"/>
  <c r="B20" i="6"/>
  <c r="B27" i="6"/>
  <c r="D52" i="26"/>
  <c r="D44" i="26"/>
  <c r="D51" i="26"/>
  <c r="D43" i="26"/>
  <c r="D55" i="26"/>
  <c r="D50" i="26"/>
  <c r="D46" i="26"/>
  <c r="D56" i="26"/>
  <c r="D53" i="26"/>
  <c r="D49" i="26"/>
  <c r="D45" i="26"/>
  <c r="D57" i="26"/>
  <c r="D48" i="26"/>
  <c r="D54" i="26"/>
  <c r="D47" i="26"/>
  <c r="H57" i="26"/>
  <c r="H51" i="26"/>
  <c r="H45" i="26"/>
  <c r="H56" i="26"/>
  <c r="H54" i="26"/>
  <c r="H52" i="26"/>
  <c r="H50" i="26"/>
  <c r="H48" i="26"/>
  <c r="H46" i="26"/>
  <c r="H44" i="26"/>
  <c r="H55" i="26"/>
  <c r="H53" i="26"/>
  <c r="H49" i="26"/>
  <c r="H47" i="26"/>
  <c r="H43" i="26"/>
  <c r="E57" i="26"/>
  <c r="E43" i="26"/>
  <c r="E45" i="26"/>
  <c r="E47" i="26"/>
  <c r="E49" i="26"/>
  <c r="E51" i="26"/>
  <c r="E53" i="26"/>
  <c r="E55" i="26"/>
  <c r="E44" i="26"/>
  <c r="E46" i="26"/>
  <c r="E48" i="26"/>
  <c r="E50" i="26"/>
  <c r="E52" i="26"/>
  <c r="E54" i="26"/>
  <c r="E56" i="26"/>
  <c r="I57" i="26"/>
  <c r="I43" i="26"/>
  <c r="I45" i="26"/>
  <c r="I47" i="26"/>
  <c r="I49" i="26"/>
  <c r="I51" i="26"/>
  <c r="I53" i="26"/>
  <c r="I55" i="26"/>
  <c r="I44" i="26"/>
  <c r="I46" i="26"/>
  <c r="I48" i="26"/>
  <c r="I50" i="26"/>
  <c r="I52" i="26"/>
  <c r="I54" i="26"/>
  <c r="I56" i="26"/>
  <c r="D39" i="6"/>
  <c r="D27" i="6"/>
  <c r="I27" i="6"/>
  <c r="I39" i="6"/>
  <c r="E11" i="23"/>
  <c r="B12" i="23" s="1"/>
  <c r="E7" i="23"/>
  <c r="F57" i="26"/>
  <c r="F44" i="26"/>
  <c r="F46" i="26"/>
  <c r="F50" i="26"/>
  <c r="F54" i="26"/>
  <c r="F43" i="26"/>
  <c r="F45" i="26"/>
  <c r="F47" i="26"/>
  <c r="F49" i="26"/>
  <c r="F51" i="26"/>
  <c r="F53" i="26"/>
  <c r="F55" i="26"/>
  <c r="F48" i="26"/>
  <c r="F52" i="26"/>
  <c r="F56" i="26"/>
  <c r="J44" i="26"/>
  <c r="J46" i="26"/>
  <c r="J48" i="26"/>
  <c r="J50" i="26"/>
  <c r="J52" i="26"/>
  <c r="J54" i="26"/>
  <c r="J56" i="26"/>
  <c r="J57" i="26"/>
  <c r="J43" i="26"/>
  <c r="J45" i="26"/>
  <c r="J47" i="26"/>
  <c r="J49" i="26"/>
  <c r="J51" i="26"/>
  <c r="J53" i="26"/>
  <c r="J55" i="26"/>
  <c r="G44" i="26"/>
  <c r="G46" i="26"/>
  <c r="G48" i="26"/>
  <c r="G50" i="26"/>
  <c r="G52" i="26"/>
  <c r="G54" i="26"/>
  <c r="G56" i="26"/>
  <c r="G57" i="26"/>
  <c r="G43" i="26"/>
  <c r="G45" i="26"/>
  <c r="G47" i="26"/>
  <c r="G49" i="26"/>
  <c r="G51" i="26"/>
  <c r="G53" i="26"/>
  <c r="G55" i="26"/>
  <c r="C39" i="6"/>
  <c r="C27" i="6"/>
  <c r="D33" i="6"/>
  <c r="H33" i="6"/>
  <c r="E33" i="6"/>
  <c r="F33" i="6"/>
  <c r="C33" i="6"/>
  <c r="G33" i="6"/>
  <c r="B33" i="6"/>
  <c r="I33" i="6"/>
  <c r="F11" i="6"/>
  <c r="F20" i="6"/>
  <c r="C11" i="6"/>
  <c r="C20" i="6"/>
  <c r="G11" i="6"/>
  <c r="G20" i="6"/>
  <c r="D11" i="6"/>
  <c r="D20" i="6"/>
  <c r="H11" i="6"/>
  <c r="H20" i="6"/>
  <c r="E11" i="6"/>
  <c r="E20" i="6"/>
  <c r="I11" i="6"/>
  <c r="I20" i="6"/>
  <c r="B11" i="6"/>
  <c r="J3" i="12" l="1"/>
  <c r="J2" i="12"/>
  <c r="F3" i="12"/>
  <c r="F2" i="12"/>
  <c r="I2" i="12"/>
  <c r="I3" i="12"/>
  <c r="E3" i="12"/>
  <c r="E2" i="12"/>
  <c r="H3" i="12"/>
  <c r="H2" i="12"/>
  <c r="D3" i="12"/>
  <c r="D2" i="12"/>
  <c r="G2" i="12"/>
  <c r="G3" i="12"/>
  <c r="C2" i="12"/>
  <c r="C3" i="12"/>
  <c r="R73" i="30"/>
  <c r="R75" i="30"/>
  <c r="R77" i="30"/>
  <c r="R79" i="30"/>
  <c r="R81" i="30"/>
  <c r="R83" i="30"/>
  <c r="R85" i="30"/>
  <c r="R87" i="30"/>
  <c r="R89" i="30"/>
  <c r="R91" i="30"/>
  <c r="R93" i="30"/>
  <c r="R95" i="30"/>
  <c r="R72" i="30"/>
  <c r="R74" i="30"/>
  <c r="R76" i="30"/>
  <c r="R78" i="30"/>
  <c r="R80" i="30"/>
  <c r="R82" i="30"/>
  <c r="R84" i="30"/>
  <c r="R86" i="30"/>
  <c r="R88" i="30"/>
  <c r="R90" i="30"/>
  <c r="R92" i="30"/>
  <c r="R94" i="30"/>
  <c r="R96" i="30"/>
  <c r="S72" i="30"/>
  <c r="S73" i="30"/>
  <c r="S75" i="30"/>
  <c r="S77" i="30"/>
  <c r="S79" i="30"/>
  <c r="S81" i="30"/>
  <c r="S83" i="30"/>
  <c r="S85" i="30"/>
  <c r="S87" i="30"/>
  <c r="S89" i="30"/>
  <c r="S91" i="30"/>
  <c r="S93" i="30"/>
  <c r="S95" i="30"/>
  <c r="S74" i="30"/>
  <c r="S76" i="30"/>
  <c r="S78" i="30"/>
  <c r="S80" i="30"/>
  <c r="S82" i="30"/>
  <c r="S84" i="30"/>
  <c r="S86" i="30"/>
  <c r="S88" i="30"/>
  <c r="S90" i="30"/>
  <c r="S92" i="30"/>
  <c r="S94" i="30"/>
  <c r="S96" i="30"/>
  <c r="Q72" i="30"/>
  <c r="Q74" i="30"/>
  <c r="Q76" i="30"/>
  <c r="Q78" i="30"/>
  <c r="Q80" i="30"/>
  <c r="Q82" i="30"/>
  <c r="Q84" i="30"/>
  <c r="Q86" i="30"/>
  <c r="Q88" i="30"/>
  <c r="Q90" i="30"/>
  <c r="Q92" i="30"/>
  <c r="Q94" i="30"/>
  <c r="Q96" i="30"/>
  <c r="Q73" i="30"/>
  <c r="Q75" i="30"/>
  <c r="Q77" i="30"/>
  <c r="Q79" i="30"/>
  <c r="Q81" i="30"/>
  <c r="Q83" i="30"/>
  <c r="Q85" i="30"/>
  <c r="Q87" i="30"/>
  <c r="Q89" i="30"/>
  <c r="Q91" i="30"/>
  <c r="Q93" i="30"/>
  <c r="Q95" i="30"/>
  <c r="R60" i="30"/>
  <c r="R59" i="30"/>
  <c r="R58" i="30"/>
  <c r="R57" i="30"/>
  <c r="R71" i="30"/>
  <c r="W51" i="31" s="1"/>
  <c r="R70" i="30"/>
  <c r="R69" i="30"/>
  <c r="R68" i="30"/>
  <c r="R67" i="30"/>
  <c r="R66" i="30"/>
  <c r="R65" i="30"/>
  <c r="R64" i="30"/>
  <c r="R63" i="30"/>
  <c r="R62" i="30"/>
  <c r="R61" i="30"/>
  <c r="S69" i="30"/>
  <c r="S64" i="30"/>
  <c r="S67" i="30"/>
  <c r="S60" i="30"/>
  <c r="S65" i="30"/>
  <c r="S70" i="30"/>
  <c r="S63" i="30"/>
  <c r="S66" i="30"/>
  <c r="S61" i="30"/>
  <c r="S62" i="30"/>
  <c r="S59" i="30"/>
  <c r="S58" i="30"/>
  <c r="S57" i="30"/>
  <c r="S71" i="30"/>
  <c r="X51" i="31" s="1"/>
  <c r="S68" i="30"/>
  <c r="Q60" i="30"/>
  <c r="Q63" i="30"/>
  <c r="Q58" i="30"/>
  <c r="Q59" i="30"/>
  <c r="Q71" i="30"/>
  <c r="V51" i="31" s="1"/>
  <c r="Q70" i="30"/>
  <c r="Q69" i="30"/>
  <c r="Q68" i="30"/>
  <c r="Q65" i="30"/>
  <c r="Q66" i="30"/>
  <c r="Q61" i="30"/>
  <c r="Q64" i="30"/>
  <c r="Q57" i="30"/>
  <c r="Q62" i="30"/>
  <c r="Q67" i="30"/>
  <c r="F4" i="29"/>
  <c r="D4" i="29"/>
  <c r="B25" i="6"/>
  <c r="H25" i="6"/>
  <c r="I25" i="6"/>
  <c r="E25" i="6"/>
  <c r="C25" i="6"/>
  <c r="F25" i="6"/>
  <c r="E10" i="26"/>
  <c r="D25" i="6"/>
  <c r="G25" i="6"/>
  <c r="AD7" i="12"/>
  <c r="T7" i="12"/>
  <c r="J7" i="12"/>
  <c r="S7" i="12"/>
  <c r="AC7" i="12"/>
  <c r="I7" i="12"/>
  <c r="X7" i="12"/>
  <c r="N7" i="12"/>
  <c r="D7" i="12"/>
  <c r="J4" i="12"/>
  <c r="I4" i="12"/>
  <c r="H4" i="12"/>
  <c r="W7" i="12"/>
  <c r="M7" i="12"/>
  <c r="C7" i="12"/>
  <c r="P7" i="12"/>
  <c r="Z7" i="12"/>
  <c r="F7" i="12"/>
  <c r="G4" i="12"/>
  <c r="AA7" i="12"/>
  <c r="Q7" i="12"/>
  <c r="G7" i="12"/>
  <c r="B24" i="6"/>
  <c r="Y7" i="12"/>
  <c r="O7" i="12"/>
  <c r="E7" i="12"/>
  <c r="AB7" i="12"/>
  <c r="R7" i="12"/>
  <c r="H7" i="12"/>
  <c r="B8" i="23"/>
  <c r="Q4" i="14"/>
  <c r="R4" i="14"/>
  <c r="L4" i="14"/>
  <c r="P4" i="14"/>
  <c r="S4" i="14"/>
  <c r="M4" i="14"/>
  <c r="O4" i="14"/>
  <c r="N4" i="14"/>
  <c r="I37" i="6"/>
  <c r="I35" i="6"/>
  <c r="B37" i="6"/>
  <c r="B35" i="6"/>
  <c r="G43" i="6"/>
  <c r="G41" i="6"/>
  <c r="Q8" i="14" s="1"/>
  <c r="C43" i="6"/>
  <c r="C41" i="6"/>
  <c r="M8" i="14" s="1"/>
  <c r="F43" i="6"/>
  <c r="F41" i="6"/>
  <c r="P8" i="14" s="1"/>
  <c r="E43" i="6"/>
  <c r="E41" i="6"/>
  <c r="O8" i="14" s="1"/>
  <c r="H43" i="6"/>
  <c r="H41" i="6"/>
  <c r="R8" i="14" s="1"/>
  <c r="D43" i="6"/>
  <c r="D41" i="6"/>
  <c r="N8" i="14" s="1"/>
  <c r="I43" i="6"/>
  <c r="I41" i="6"/>
  <c r="S8" i="14" s="1"/>
  <c r="B43" i="6"/>
  <c r="B41" i="6"/>
  <c r="L8" i="14" s="1"/>
  <c r="G37" i="6"/>
  <c r="G35" i="6"/>
  <c r="C37" i="6"/>
  <c r="C35" i="6"/>
  <c r="F37" i="6"/>
  <c r="F35" i="6"/>
  <c r="E37" i="6"/>
  <c r="E35" i="6"/>
  <c r="H37" i="6"/>
  <c r="H35" i="6"/>
  <c r="D37" i="6"/>
  <c r="D35" i="6"/>
  <c r="B31" i="6"/>
  <c r="B29" i="6"/>
  <c r="I24" i="6"/>
  <c r="I22" i="6"/>
  <c r="E31" i="6"/>
  <c r="E29" i="6"/>
  <c r="H31" i="6"/>
  <c r="H29" i="6"/>
  <c r="D24" i="6"/>
  <c r="D22" i="6"/>
  <c r="G24" i="6"/>
  <c r="G22" i="6"/>
  <c r="C31" i="6"/>
  <c r="C29" i="6"/>
  <c r="F31" i="6"/>
  <c r="F29" i="6"/>
  <c r="B22" i="6"/>
  <c r="I31" i="6"/>
  <c r="I29" i="6"/>
  <c r="E24" i="6"/>
  <c r="E22" i="6"/>
  <c r="H24" i="6"/>
  <c r="H22" i="6"/>
  <c r="D31" i="6"/>
  <c r="D29" i="6"/>
  <c r="G31" i="6"/>
  <c r="G29" i="6"/>
  <c r="C24" i="6"/>
  <c r="C22" i="6"/>
  <c r="F24" i="6"/>
  <c r="F22" i="6"/>
  <c r="D1" i="6"/>
  <c r="C1" i="6"/>
  <c r="E1" i="6"/>
  <c r="F1" i="6"/>
  <c r="G1" i="6"/>
  <c r="H1" i="6"/>
  <c r="I1" i="6"/>
  <c r="M5" i="14"/>
  <c r="N5" i="14"/>
  <c r="O5" i="14"/>
  <c r="P5" i="14"/>
  <c r="Q5" i="14"/>
  <c r="R5" i="14"/>
  <c r="S5" i="14"/>
  <c r="C5" i="6"/>
  <c r="C40" i="6" s="1"/>
  <c r="D5" i="6"/>
  <c r="D40" i="6" s="1"/>
  <c r="E5" i="6"/>
  <c r="E40" i="6" s="1"/>
  <c r="F5" i="6"/>
  <c r="F40" i="6" s="1"/>
  <c r="G5" i="6"/>
  <c r="G34" i="6" s="1"/>
  <c r="H5" i="6"/>
  <c r="H40" i="6" s="1"/>
  <c r="I5" i="6"/>
  <c r="I34" i="6" s="1"/>
  <c r="C4" i="29" l="1"/>
  <c r="E4" i="29"/>
  <c r="Q8" i="29"/>
  <c r="D8" i="29"/>
  <c r="S8" i="29"/>
  <c r="F8" i="29"/>
  <c r="K8" i="29"/>
  <c r="M8" i="29"/>
  <c r="C4" i="12"/>
  <c r="M8" i="12" s="1"/>
  <c r="H1" i="25"/>
  <c r="H4" i="25" s="1"/>
  <c r="H2" i="26"/>
  <c r="G2" i="26"/>
  <c r="G1" i="25"/>
  <c r="G4" i="25" s="1"/>
  <c r="I10" i="26"/>
  <c r="J2" i="26"/>
  <c r="J1" i="25"/>
  <c r="J4" i="25" s="1"/>
  <c r="D4" i="12"/>
  <c r="N8" i="12" s="1"/>
  <c r="E4" i="12"/>
  <c r="B14" i="6"/>
  <c r="C4" i="10" s="1"/>
  <c r="C127" i="10" s="1"/>
  <c r="F4" i="12"/>
  <c r="G8" i="12"/>
  <c r="Q8" i="12"/>
  <c r="D2" i="26"/>
  <c r="D1" i="25"/>
  <c r="D4" i="25" s="1"/>
  <c r="F2" i="26"/>
  <c r="F1" i="25"/>
  <c r="F4" i="25" s="1"/>
  <c r="I8" i="12"/>
  <c r="J8" i="12"/>
  <c r="AC8" i="12"/>
  <c r="F14" i="6"/>
  <c r="G3" i="10" s="1"/>
  <c r="C14" i="6"/>
  <c r="D4" i="10" s="1"/>
  <c r="D127" i="10" s="1"/>
  <c r="H14" i="6"/>
  <c r="I3" i="10" s="1"/>
  <c r="E14" i="6"/>
  <c r="F3" i="10" s="1"/>
  <c r="AD8" i="12"/>
  <c r="S8" i="12"/>
  <c r="R8" i="12"/>
  <c r="T8" i="12"/>
  <c r="AA8" i="12"/>
  <c r="AB8" i="12"/>
  <c r="G14" i="6"/>
  <c r="AB6" i="10" s="1"/>
  <c r="D14" i="6"/>
  <c r="I14" i="6"/>
  <c r="AD6" i="10" s="1"/>
  <c r="H34" i="6"/>
  <c r="E34" i="6"/>
  <c r="F34" i="6"/>
  <c r="C34" i="6"/>
  <c r="I40" i="6"/>
  <c r="G40" i="6"/>
  <c r="D34" i="6"/>
  <c r="C21" i="6"/>
  <c r="G28" i="6"/>
  <c r="D28" i="6"/>
  <c r="E21" i="6"/>
  <c r="I28" i="6"/>
  <c r="F28" i="6"/>
  <c r="C28" i="6"/>
  <c r="D21" i="6"/>
  <c r="H28" i="6"/>
  <c r="E28" i="6"/>
  <c r="F21" i="6"/>
  <c r="H21" i="6"/>
  <c r="G21" i="6"/>
  <c r="I21" i="6"/>
  <c r="AC2" i="10"/>
  <c r="S2" i="10"/>
  <c r="S1" i="12"/>
  <c r="AC1" i="12" s="1"/>
  <c r="AA2" i="10"/>
  <c r="Q2" i="10"/>
  <c r="Q1" i="12"/>
  <c r="AA1" i="12" s="1"/>
  <c r="AD2" i="10"/>
  <c r="T2" i="10"/>
  <c r="T1" i="12"/>
  <c r="AD1" i="12" s="1"/>
  <c r="AB2" i="10"/>
  <c r="R2" i="10"/>
  <c r="R1" i="12"/>
  <c r="AB1" i="12" s="1"/>
  <c r="Z2" i="10"/>
  <c r="P2" i="10"/>
  <c r="P1" i="12"/>
  <c r="Z1" i="12" s="1"/>
  <c r="Y2" i="10"/>
  <c r="O2" i="10"/>
  <c r="O1" i="12"/>
  <c r="Y1" i="12" s="1"/>
  <c r="X2" i="10"/>
  <c r="N2" i="10"/>
  <c r="N1" i="12"/>
  <c r="X1" i="12" s="1"/>
  <c r="H8" i="12"/>
  <c r="E12" i="6"/>
  <c r="F12" i="6"/>
  <c r="C12" i="6"/>
  <c r="R2" i="14"/>
  <c r="I2" i="10"/>
  <c r="I3" i="11"/>
  <c r="I1" i="12"/>
  <c r="P2" i="14"/>
  <c r="G1" i="12"/>
  <c r="G2" i="10"/>
  <c r="G3" i="11"/>
  <c r="D3" i="11"/>
  <c r="M2" i="14"/>
  <c r="D1" i="12"/>
  <c r="D2" i="10"/>
  <c r="N2" i="14"/>
  <c r="E3" i="11"/>
  <c r="S2" i="14"/>
  <c r="J1" i="12"/>
  <c r="J2" i="10"/>
  <c r="J3" i="11"/>
  <c r="H2" i="10"/>
  <c r="H3" i="11"/>
  <c r="Q2" i="14"/>
  <c r="H1" i="12"/>
  <c r="O2" i="14"/>
  <c r="F1" i="12"/>
  <c r="F2" i="10"/>
  <c r="F3" i="11"/>
  <c r="E2" i="10"/>
  <c r="E1" i="12"/>
  <c r="K6" i="30" l="1"/>
  <c r="K7" i="30"/>
  <c r="T6" i="30"/>
  <c r="T7" i="30"/>
  <c r="R6" i="30"/>
  <c r="R7" i="30"/>
  <c r="M6" i="30"/>
  <c r="M7" i="30"/>
  <c r="W8" i="12"/>
  <c r="H3" i="27"/>
  <c r="H3" i="36"/>
  <c r="S9" i="29"/>
  <c r="S16" i="29" s="1"/>
  <c r="Q13" i="29"/>
  <c r="F13" i="29"/>
  <c r="F45" i="31" s="1"/>
  <c r="O25" i="32" s="1"/>
  <c r="D13" i="29"/>
  <c r="D45" i="31" s="1"/>
  <c r="M25" i="32" s="1"/>
  <c r="T115" i="30"/>
  <c r="T116" i="30"/>
  <c r="T117" i="30"/>
  <c r="T118" i="30"/>
  <c r="T119" i="30"/>
  <c r="T120" i="30"/>
  <c r="T121" i="30"/>
  <c r="T122" i="30"/>
  <c r="T123" i="30"/>
  <c r="T124" i="30"/>
  <c r="T125" i="30"/>
  <c r="T126" i="30"/>
  <c r="T127" i="30"/>
  <c r="T128" i="30"/>
  <c r="T129" i="30"/>
  <c r="T130" i="30"/>
  <c r="T131" i="30"/>
  <c r="T132" i="30"/>
  <c r="T133" i="30"/>
  <c r="T134" i="30"/>
  <c r="T135" i="30"/>
  <c r="T136" i="30"/>
  <c r="T137" i="30"/>
  <c r="T138" i="30"/>
  <c r="T139" i="30"/>
  <c r="R115" i="30"/>
  <c r="R116" i="30"/>
  <c r="R117" i="30"/>
  <c r="R118" i="30"/>
  <c r="R119" i="30"/>
  <c r="R120" i="30"/>
  <c r="R121" i="30"/>
  <c r="R122" i="30"/>
  <c r="R123" i="30"/>
  <c r="R124" i="30"/>
  <c r="R125" i="30"/>
  <c r="R126" i="30"/>
  <c r="R127" i="30"/>
  <c r="R128" i="30"/>
  <c r="R129" i="30"/>
  <c r="R130" i="30"/>
  <c r="R131" i="30"/>
  <c r="R132" i="30"/>
  <c r="R133" i="30"/>
  <c r="R134" i="30"/>
  <c r="R135" i="30"/>
  <c r="R136" i="30"/>
  <c r="R137" i="30"/>
  <c r="R138" i="30"/>
  <c r="R139" i="30"/>
  <c r="M115" i="30"/>
  <c r="M116" i="30"/>
  <c r="M117" i="30"/>
  <c r="M118" i="30"/>
  <c r="M119" i="30"/>
  <c r="M120" i="30"/>
  <c r="M121" i="30"/>
  <c r="M122" i="30"/>
  <c r="M123" i="30"/>
  <c r="M124" i="30"/>
  <c r="M125" i="30"/>
  <c r="M126" i="30"/>
  <c r="M127" i="30"/>
  <c r="M128" i="30"/>
  <c r="M129" i="30"/>
  <c r="M130" i="30"/>
  <c r="M131" i="30"/>
  <c r="M132" i="30"/>
  <c r="M133" i="30"/>
  <c r="M134" i="30"/>
  <c r="M135" i="30"/>
  <c r="M136" i="30"/>
  <c r="M137" i="30"/>
  <c r="M138" i="30"/>
  <c r="M139" i="30"/>
  <c r="K115" i="30"/>
  <c r="K116" i="30"/>
  <c r="K117" i="30"/>
  <c r="K118" i="30"/>
  <c r="K119" i="30"/>
  <c r="K120" i="30"/>
  <c r="K121" i="30"/>
  <c r="K122" i="30"/>
  <c r="K123" i="30"/>
  <c r="K124" i="30"/>
  <c r="K125" i="30"/>
  <c r="K126" i="30"/>
  <c r="K127" i="30"/>
  <c r="K128" i="30"/>
  <c r="K129" i="30"/>
  <c r="K130" i="30"/>
  <c r="K131" i="30"/>
  <c r="K132" i="30"/>
  <c r="K133" i="30"/>
  <c r="K134" i="30"/>
  <c r="K135" i="30"/>
  <c r="K136" i="30"/>
  <c r="K137" i="30"/>
  <c r="K138" i="30"/>
  <c r="K139" i="30"/>
  <c r="H5" i="25"/>
  <c r="H6" i="25" s="1"/>
  <c r="H11" i="25"/>
  <c r="H12" i="25"/>
  <c r="D11" i="25"/>
  <c r="D12" i="25"/>
  <c r="J11" i="25"/>
  <c r="J12" i="25"/>
  <c r="G5" i="25"/>
  <c r="G6" i="25" s="1"/>
  <c r="G11" i="25"/>
  <c r="G12" i="25"/>
  <c r="AD85" i="10"/>
  <c r="AD86" i="10"/>
  <c r="AD87" i="10"/>
  <c r="AD88" i="10"/>
  <c r="AD89" i="10"/>
  <c r="AD90" i="10"/>
  <c r="AD91" i="10"/>
  <c r="AD92" i="10"/>
  <c r="AD93" i="10"/>
  <c r="AD94" i="10"/>
  <c r="AB85" i="10"/>
  <c r="AB86" i="10"/>
  <c r="AB87" i="10"/>
  <c r="AB88" i="10"/>
  <c r="AB89" i="10"/>
  <c r="AB90" i="10"/>
  <c r="AB91" i="10"/>
  <c r="AB92" i="10"/>
  <c r="AB93" i="10"/>
  <c r="AB94" i="10"/>
  <c r="P8" i="29"/>
  <c r="S13" i="29"/>
  <c r="J8" i="29"/>
  <c r="J9" i="29" s="1"/>
  <c r="J16" i="29" s="1"/>
  <c r="Q9" i="29"/>
  <c r="Q16" i="29" s="1"/>
  <c r="C8" i="29"/>
  <c r="L8" i="29"/>
  <c r="E8" i="29"/>
  <c r="F9" i="29"/>
  <c r="F16" i="29" s="1"/>
  <c r="D9" i="29"/>
  <c r="R8" i="29"/>
  <c r="R13" i="29" s="1"/>
  <c r="F6" i="30"/>
  <c r="M105" i="30"/>
  <c r="M113" i="30"/>
  <c r="M107" i="30"/>
  <c r="M102" i="30"/>
  <c r="M106" i="30"/>
  <c r="M110" i="30"/>
  <c r="M114" i="30"/>
  <c r="M101" i="30"/>
  <c r="M109" i="30"/>
  <c r="M103" i="30"/>
  <c r="M111" i="30"/>
  <c r="M100" i="30"/>
  <c r="M104" i="30"/>
  <c r="M108" i="30"/>
  <c r="M112" i="30"/>
  <c r="D6" i="30"/>
  <c r="K102" i="30"/>
  <c r="K106" i="30"/>
  <c r="K110" i="30"/>
  <c r="K114" i="30"/>
  <c r="K103" i="30"/>
  <c r="K107" i="30"/>
  <c r="K111" i="30"/>
  <c r="K100" i="30"/>
  <c r="K104" i="30"/>
  <c r="K108" i="30"/>
  <c r="K112" i="30"/>
  <c r="K101" i="30"/>
  <c r="K105" i="30"/>
  <c r="K109" i="30"/>
  <c r="K113" i="30"/>
  <c r="K9" i="30"/>
  <c r="Y4" i="31"/>
  <c r="M9" i="29"/>
  <c r="M16" i="29" s="1"/>
  <c r="M13" i="29"/>
  <c r="M11" i="29"/>
  <c r="M12" i="29" s="1"/>
  <c r="W12" i="32" s="1"/>
  <c r="K9" i="29"/>
  <c r="K16" i="29" s="1"/>
  <c r="K13" i="29"/>
  <c r="M45" i="31" s="1"/>
  <c r="U25" i="32" s="1"/>
  <c r="K11" i="29"/>
  <c r="K12" i="29" s="1"/>
  <c r="U12" i="32" s="1"/>
  <c r="T114" i="30"/>
  <c r="T103" i="30"/>
  <c r="T111" i="30"/>
  <c r="T105" i="30"/>
  <c r="T113" i="30"/>
  <c r="T100" i="30"/>
  <c r="T104" i="30"/>
  <c r="T108" i="30"/>
  <c r="T112" i="30"/>
  <c r="T107" i="30"/>
  <c r="T101" i="30"/>
  <c r="T109" i="30"/>
  <c r="T102" i="30"/>
  <c r="T106" i="30"/>
  <c r="T110" i="30"/>
  <c r="T9" i="30"/>
  <c r="R113" i="30"/>
  <c r="R102" i="30"/>
  <c r="R106" i="30"/>
  <c r="R110" i="30"/>
  <c r="R114" i="30"/>
  <c r="R103" i="30"/>
  <c r="R107" i="30"/>
  <c r="R111" i="30"/>
  <c r="R100" i="30"/>
  <c r="R104" i="30"/>
  <c r="R108" i="30"/>
  <c r="R112" i="30"/>
  <c r="R101" i="30"/>
  <c r="R105" i="30"/>
  <c r="R109" i="30"/>
  <c r="R9" i="30"/>
  <c r="H6" i="26"/>
  <c r="G6" i="26"/>
  <c r="W6" i="10"/>
  <c r="J5" i="25"/>
  <c r="J6" i="25" s="1"/>
  <c r="Z8" i="12"/>
  <c r="P6" i="10"/>
  <c r="Z6" i="10"/>
  <c r="D8" i="12"/>
  <c r="N6" i="10"/>
  <c r="X6" i="10"/>
  <c r="AC6" i="10"/>
  <c r="R6" i="10"/>
  <c r="M6" i="10"/>
  <c r="S6" i="10"/>
  <c r="Q6" i="10"/>
  <c r="Y8" i="12"/>
  <c r="O6" i="10"/>
  <c r="Y6" i="10"/>
  <c r="T6" i="10"/>
  <c r="AA6" i="10"/>
  <c r="AB7" i="10"/>
  <c r="T7" i="10"/>
  <c r="R7" i="10"/>
  <c r="AD7" i="10"/>
  <c r="Q7" i="10"/>
  <c r="AA9" i="12"/>
  <c r="AA7" i="10"/>
  <c r="N7" i="10"/>
  <c r="S7" i="10"/>
  <c r="AC7" i="10"/>
  <c r="W9" i="12"/>
  <c r="W7" i="10"/>
  <c r="M9" i="12"/>
  <c r="M7" i="10"/>
  <c r="C3" i="10"/>
  <c r="M3" i="10" s="1"/>
  <c r="W3" i="10" s="1"/>
  <c r="X8" i="12"/>
  <c r="F8" i="12"/>
  <c r="E8" i="12"/>
  <c r="P8" i="12"/>
  <c r="O8" i="12"/>
  <c r="C8" i="12"/>
  <c r="D3" i="10"/>
  <c r="N3" i="10" s="1"/>
  <c r="X3" i="10" s="1"/>
  <c r="AB9" i="12"/>
  <c r="AC14" i="12"/>
  <c r="AC9" i="12"/>
  <c r="AD9" i="12"/>
  <c r="T9" i="12"/>
  <c r="S9" i="12"/>
  <c r="N9" i="12"/>
  <c r="R9" i="12"/>
  <c r="Q9" i="12"/>
  <c r="P3" i="10"/>
  <c r="Z3" i="10" s="1"/>
  <c r="F5" i="10"/>
  <c r="Q3" i="10"/>
  <c r="AA3" i="10" s="1"/>
  <c r="G5" i="10"/>
  <c r="S3" i="10"/>
  <c r="AC3" i="10" s="1"/>
  <c r="I5" i="10"/>
  <c r="AC5" i="10"/>
  <c r="AA5" i="10"/>
  <c r="I4" i="10"/>
  <c r="I127" i="10" s="1"/>
  <c r="G4" i="10"/>
  <c r="G47" i="10" s="1"/>
  <c r="F5" i="25"/>
  <c r="F6" i="25" s="1"/>
  <c r="D5" i="25"/>
  <c r="D6" i="25" s="1"/>
  <c r="N5" i="10"/>
  <c r="N14" i="12"/>
  <c r="F4" i="10"/>
  <c r="P4" i="10" s="1"/>
  <c r="Z4" i="10" s="1"/>
  <c r="X5" i="10"/>
  <c r="AA71" i="10"/>
  <c r="Q72" i="10"/>
  <c r="Y14" i="12"/>
  <c r="R14" i="12"/>
  <c r="AD14" i="12"/>
  <c r="S5" i="10"/>
  <c r="Q5" i="10"/>
  <c r="N4" i="10"/>
  <c r="M4" i="10"/>
  <c r="S14" i="12"/>
  <c r="Z5" i="10"/>
  <c r="P5" i="10"/>
  <c r="M14" i="12"/>
  <c r="M31" i="11" s="1"/>
  <c r="W14" i="12"/>
  <c r="H9" i="12"/>
  <c r="H16" i="12" s="1"/>
  <c r="I9" i="12"/>
  <c r="I16" i="12" s="1"/>
  <c r="T14" i="12"/>
  <c r="G9" i="12"/>
  <c r="G16" i="12" s="1"/>
  <c r="J9" i="12"/>
  <c r="J16" i="12" s="1"/>
  <c r="AA14" i="12"/>
  <c r="Q14" i="12"/>
  <c r="Q31" i="11" s="1"/>
  <c r="AB14" i="12"/>
  <c r="J3" i="10"/>
  <c r="T5" i="10"/>
  <c r="J4" i="10"/>
  <c r="J127" i="10" s="1"/>
  <c r="AD5" i="10"/>
  <c r="H3" i="10"/>
  <c r="H4" i="10"/>
  <c r="H127" i="10" s="1"/>
  <c r="AB5" i="10"/>
  <c r="R5" i="10"/>
  <c r="E3" i="10"/>
  <c r="E4" i="10"/>
  <c r="E127" i="10" s="1"/>
  <c r="Y5" i="10"/>
  <c r="O5" i="10"/>
  <c r="R10" i="12"/>
  <c r="AB10" i="12" s="1"/>
  <c r="N10" i="12"/>
  <c r="X10" i="12" s="1"/>
  <c r="O10" i="12"/>
  <c r="Y10" i="12" s="1"/>
  <c r="P10" i="12"/>
  <c r="Z10" i="12" s="1"/>
  <c r="R3" i="11"/>
  <c r="AB3" i="11"/>
  <c r="S3" i="11"/>
  <c r="AC3" i="11"/>
  <c r="O3" i="11"/>
  <c r="Y3" i="11"/>
  <c r="Q3" i="11"/>
  <c r="AA3" i="11"/>
  <c r="P3" i="11"/>
  <c r="Z3" i="11"/>
  <c r="T3" i="11"/>
  <c r="AD3" i="11"/>
  <c r="N3" i="11"/>
  <c r="X3" i="11"/>
  <c r="T10" i="12"/>
  <c r="AD10" i="12" s="1"/>
  <c r="Q10" i="12"/>
  <c r="AA10" i="12" s="1"/>
  <c r="G14" i="12"/>
  <c r="H14" i="12"/>
  <c r="H31" i="11" s="1"/>
  <c r="I14" i="12"/>
  <c r="I31" i="11" s="1"/>
  <c r="J14" i="12"/>
  <c r="J31" i="11" s="1"/>
  <c r="S10" i="12"/>
  <c r="AC10" i="12" s="1"/>
  <c r="Y2" i="14"/>
  <c r="AH2" i="14" s="1"/>
  <c r="AA2" i="14"/>
  <c r="AJ2" i="14" s="1"/>
  <c r="AC2" i="14"/>
  <c r="AL2" i="14" s="1"/>
  <c r="W2" i="14"/>
  <c r="AF2" i="14" s="1"/>
  <c r="X2" i="14"/>
  <c r="AG2" i="14" s="1"/>
  <c r="Z2" i="14"/>
  <c r="AI2" i="14" s="1"/>
  <c r="AB2" i="14"/>
  <c r="AK2" i="14" s="1"/>
  <c r="I12" i="6"/>
  <c r="S11" i="29" l="1"/>
  <c r="S12" i="29" s="1"/>
  <c r="S31" i="29" s="1"/>
  <c r="S6" i="30"/>
  <c r="S105" i="30" s="1"/>
  <c r="S7" i="30"/>
  <c r="L6" i="30"/>
  <c r="E6" i="30" s="1"/>
  <c r="L7" i="30"/>
  <c r="J6" i="30"/>
  <c r="J7" i="30"/>
  <c r="P13" i="29"/>
  <c r="V45" i="31" s="1"/>
  <c r="AA25" i="32" s="1"/>
  <c r="Q6" i="30"/>
  <c r="Q7" i="30"/>
  <c r="R158" i="30"/>
  <c r="R160" i="30"/>
  <c r="R162" i="30"/>
  <c r="R164" i="30"/>
  <c r="R166" i="30"/>
  <c r="R168" i="30"/>
  <c r="R170" i="30"/>
  <c r="R172" i="30"/>
  <c r="R174" i="30"/>
  <c r="R176" i="30"/>
  <c r="R178" i="30"/>
  <c r="R180" i="30"/>
  <c r="R182" i="30"/>
  <c r="R156" i="30"/>
  <c r="R152" i="30"/>
  <c r="R148" i="30"/>
  <c r="R20" i="30" s="1"/>
  <c r="R144" i="30"/>
  <c r="R155" i="30"/>
  <c r="R27" i="30" s="1"/>
  <c r="R151" i="30"/>
  <c r="R147" i="30"/>
  <c r="R19" i="30" s="1"/>
  <c r="R143" i="30"/>
  <c r="R159" i="30"/>
  <c r="R31" i="30" s="1"/>
  <c r="R161" i="30"/>
  <c r="R33" i="30" s="1"/>
  <c r="R163" i="30"/>
  <c r="R35" i="30" s="1"/>
  <c r="W25" i="31" s="1"/>
  <c r="R165" i="30"/>
  <c r="R37" i="30" s="1"/>
  <c r="W27" i="31" s="1"/>
  <c r="R167" i="30"/>
  <c r="R39" i="30" s="1"/>
  <c r="W29" i="31" s="1"/>
  <c r="R169" i="30"/>
  <c r="R41" i="30" s="1"/>
  <c r="W31" i="31" s="1"/>
  <c r="R171" i="30"/>
  <c r="R43" i="30" s="1"/>
  <c r="W33" i="31" s="1"/>
  <c r="R173" i="30"/>
  <c r="R45" i="30" s="1"/>
  <c r="W35" i="31" s="1"/>
  <c r="R175" i="30"/>
  <c r="R47" i="30" s="1"/>
  <c r="W37" i="31" s="1"/>
  <c r="AA14" i="32" s="1"/>
  <c r="R177" i="30"/>
  <c r="R49" i="30" s="1"/>
  <c r="W39" i="31" s="1"/>
  <c r="R179" i="30"/>
  <c r="R51" i="30" s="1"/>
  <c r="W41" i="31" s="1"/>
  <c r="R181" i="30"/>
  <c r="R53" i="30" s="1"/>
  <c r="W43" i="31" s="1"/>
  <c r="R154" i="30"/>
  <c r="R26" i="30" s="1"/>
  <c r="R150" i="30"/>
  <c r="R146" i="30"/>
  <c r="R18" i="30" s="1"/>
  <c r="R157" i="30"/>
  <c r="R153" i="30"/>
  <c r="R25" i="30" s="1"/>
  <c r="R149" i="30"/>
  <c r="R145" i="30"/>
  <c r="R17" i="30" s="1"/>
  <c r="T158" i="30"/>
  <c r="T30" i="30" s="1"/>
  <c r="T160" i="30"/>
  <c r="T32" i="30" s="1"/>
  <c r="T162" i="30"/>
  <c r="T34" i="30" s="1"/>
  <c r="T164" i="30"/>
  <c r="T36" i="30" s="1"/>
  <c r="Y26" i="31" s="1"/>
  <c r="T166" i="30"/>
  <c r="T38" i="30" s="1"/>
  <c r="Y28" i="31" s="1"/>
  <c r="T168" i="30"/>
  <c r="T40" i="30" s="1"/>
  <c r="Y30" i="31" s="1"/>
  <c r="T170" i="30"/>
  <c r="T42" i="30" s="1"/>
  <c r="Y32" i="31" s="1"/>
  <c r="T172" i="30"/>
  <c r="T44" i="30" s="1"/>
  <c r="Y34" i="31" s="1"/>
  <c r="T174" i="30"/>
  <c r="T46" i="30" s="1"/>
  <c r="Y36" i="31" s="1"/>
  <c r="AC13" i="32" s="1"/>
  <c r="T176" i="30"/>
  <c r="T48" i="30" s="1"/>
  <c r="Y38" i="31" s="1"/>
  <c r="AC15" i="32" s="1"/>
  <c r="T178" i="30"/>
  <c r="T50" i="30" s="1"/>
  <c r="Y40" i="31" s="1"/>
  <c r="T180" i="30"/>
  <c r="T52" i="30" s="1"/>
  <c r="Y42" i="31" s="1"/>
  <c r="T182" i="30"/>
  <c r="T54" i="30" s="1"/>
  <c r="Y44" i="31" s="1"/>
  <c r="T157" i="30"/>
  <c r="T153" i="30"/>
  <c r="T149" i="30"/>
  <c r="T21" i="30" s="1"/>
  <c r="T145" i="30"/>
  <c r="T156" i="30"/>
  <c r="T152" i="30"/>
  <c r="T24" i="30" s="1"/>
  <c r="T148" i="30"/>
  <c r="T20" i="30" s="1"/>
  <c r="T144" i="30"/>
  <c r="T159" i="30"/>
  <c r="T31" i="30" s="1"/>
  <c r="T161" i="30"/>
  <c r="T163" i="30"/>
  <c r="T35" i="30" s="1"/>
  <c r="Y25" i="31" s="1"/>
  <c r="T165" i="30"/>
  <c r="T167" i="30"/>
  <c r="T39" i="30" s="1"/>
  <c r="Y29" i="31" s="1"/>
  <c r="T169" i="30"/>
  <c r="T171" i="30"/>
  <c r="T43" i="30" s="1"/>
  <c r="Y33" i="31" s="1"/>
  <c r="T173" i="30"/>
  <c r="T175" i="30"/>
  <c r="T47" i="30" s="1"/>
  <c r="Y37" i="31" s="1"/>
  <c r="AC14" i="32" s="1"/>
  <c r="T177" i="30"/>
  <c r="T179" i="30"/>
  <c r="T51" i="30" s="1"/>
  <c r="Y41" i="31" s="1"/>
  <c r="T181" i="30"/>
  <c r="T155" i="30"/>
  <c r="T151" i="30"/>
  <c r="T23" i="30" s="1"/>
  <c r="T147" i="30"/>
  <c r="T19" i="30" s="1"/>
  <c r="T143" i="30"/>
  <c r="T154" i="30"/>
  <c r="T26" i="30" s="1"/>
  <c r="T150" i="30"/>
  <c r="T22" i="30" s="1"/>
  <c r="T146" i="30"/>
  <c r="T18" i="30" s="1"/>
  <c r="K159" i="30"/>
  <c r="K161" i="30"/>
  <c r="K33" i="30" s="1"/>
  <c r="K163" i="30"/>
  <c r="K165" i="30"/>
  <c r="K37" i="30" s="1"/>
  <c r="M27" i="31" s="1"/>
  <c r="K167" i="30"/>
  <c r="K169" i="30"/>
  <c r="K41" i="30" s="1"/>
  <c r="M31" i="31" s="1"/>
  <c r="K171" i="30"/>
  <c r="K173" i="30"/>
  <c r="K45" i="30" s="1"/>
  <c r="M35" i="31" s="1"/>
  <c r="K175" i="30"/>
  <c r="K177" i="30"/>
  <c r="K49" i="30" s="1"/>
  <c r="M39" i="31" s="1"/>
  <c r="K179" i="30"/>
  <c r="K181" i="30"/>
  <c r="K53" i="30" s="1"/>
  <c r="M43" i="31" s="1"/>
  <c r="D7" i="30"/>
  <c r="K155" i="30"/>
  <c r="K27" i="30" s="1"/>
  <c r="K151" i="30"/>
  <c r="K23" i="30" s="1"/>
  <c r="K147" i="30"/>
  <c r="K143" i="30"/>
  <c r="K154" i="30"/>
  <c r="K26" i="30" s="1"/>
  <c r="K150" i="30"/>
  <c r="K22" i="30" s="1"/>
  <c r="K146" i="30"/>
  <c r="K18" i="30" s="1"/>
  <c r="K158" i="30"/>
  <c r="K30" i="30" s="1"/>
  <c r="K160" i="30"/>
  <c r="K32" i="30" s="1"/>
  <c r="K162" i="30"/>
  <c r="K34" i="30" s="1"/>
  <c r="K164" i="30"/>
  <c r="K36" i="30" s="1"/>
  <c r="M26" i="31" s="1"/>
  <c r="K166" i="30"/>
  <c r="K38" i="30" s="1"/>
  <c r="M28" i="31" s="1"/>
  <c r="K168" i="30"/>
  <c r="K40" i="30" s="1"/>
  <c r="M30" i="31" s="1"/>
  <c r="K170" i="30"/>
  <c r="K42" i="30" s="1"/>
  <c r="M32" i="31" s="1"/>
  <c r="K172" i="30"/>
  <c r="K44" i="30" s="1"/>
  <c r="M34" i="31" s="1"/>
  <c r="K174" i="30"/>
  <c r="K46" i="30" s="1"/>
  <c r="M36" i="31" s="1"/>
  <c r="T13" i="32" s="1"/>
  <c r="K176" i="30"/>
  <c r="K48" i="30" s="1"/>
  <c r="M38" i="31" s="1"/>
  <c r="T15" i="32" s="1"/>
  <c r="K178" i="30"/>
  <c r="K50" i="30" s="1"/>
  <c r="M40" i="31" s="1"/>
  <c r="K180" i="30"/>
  <c r="K52" i="30" s="1"/>
  <c r="M42" i="31" s="1"/>
  <c r="K182" i="30"/>
  <c r="K54" i="30" s="1"/>
  <c r="M44" i="31" s="1"/>
  <c r="K157" i="30"/>
  <c r="K29" i="30" s="1"/>
  <c r="K153" i="30"/>
  <c r="K149" i="30"/>
  <c r="K21" i="30" s="1"/>
  <c r="K145" i="30"/>
  <c r="K156" i="30"/>
  <c r="K28" i="30" s="1"/>
  <c r="K152" i="30"/>
  <c r="K24" i="30" s="1"/>
  <c r="K148" i="30"/>
  <c r="K20" i="30" s="1"/>
  <c r="K144" i="30"/>
  <c r="K16" i="30" s="1"/>
  <c r="R24" i="30"/>
  <c r="R16" i="30"/>
  <c r="R23" i="30"/>
  <c r="R22" i="30"/>
  <c r="R29" i="30"/>
  <c r="R21" i="30"/>
  <c r="R28" i="30"/>
  <c r="T25" i="30"/>
  <c r="T17" i="30"/>
  <c r="T16" i="30"/>
  <c r="T27" i="30"/>
  <c r="T28" i="30"/>
  <c r="T29" i="30"/>
  <c r="Y19" i="31" s="1"/>
  <c r="K19" i="30"/>
  <c r="K25" i="30"/>
  <c r="K17" i="30"/>
  <c r="K51" i="30"/>
  <c r="M41" i="31" s="1"/>
  <c r="K47" i="30"/>
  <c r="M37" i="31" s="1"/>
  <c r="T14" i="32" s="1"/>
  <c r="K43" i="30"/>
  <c r="M33" i="31" s="1"/>
  <c r="K39" i="30"/>
  <c r="M29" i="31" s="1"/>
  <c r="K35" i="30"/>
  <c r="M25" i="31" s="1"/>
  <c r="K31" i="30"/>
  <c r="R54" i="30"/>
  <c r="W44" i="31" s="1"/>
  <c r="R52" i="30"/>
  <c r="W42" i="31" s="1"/>
  <c r="R50" i="30"/>
  <c r="W40" i="31" s="1"/>
  <c r="R48" i="30"/>
  <c r="W38" i="31" s="1"/>
  <c r="AA15" i="32" s="1"/>
  <c r="R46" i="30"/>
  <c r="W36" i="31" s="1"/>
  <c r="AA13" i="32" s="1"/>
  <c r="R44" i="30"/>
  <c r="W34" i="31" s="1"/>
  <c r="R42" i="30"/>
  <c r="W32" i="31" s="1"/>
  <c r="R40" i="30"/>
  <c r="W30" i="31" s="1"/>
  <c r="R38" i="30"/>
  <c r="W28" i="31" s="1"/>
  <c r="R36" i="30"/>
  <c r="W26" i="31" s="1"/>
  <c r="R34" i="30"/>
  <c r="R32" i="30"/>
  <c r="R30" i="30"/>
  <c r="T53" i="30"/>
  <c r="Y43" i="31" s="1"/>
  <c r="T49" i="30"/>
  <c r="Y39" i="31" s="1"/>
  <c r="T45" i="30"/>
  <c r="Y35" i="31" s="1"/>
  <c r="T41" i="30"/>
  <c r="Y31" i="31" s="1"/>
  <c r="T37" i="30"/>
  <c r="Y27" i="31" s="1"/>
  <c r="T33" i="30"/>
  <c r="Y48" i="31"/>
  <c r="AC11" i="32"/>
  <c r="W4" i="31"/>
  <c r="F4" i="31"/>
  <c r="O11" i="32" s="1"/>
  <c r="F7" i="26"/>
  <c r="F115" i="26" s="1"/>
  <c r="R9" i="29"/>
  <c r="R16" i="29" s="1"/>
  <c r="X45" i="31"/>
  <c r="AC25" i="32" s="1"/>
  <c r="E9" i="29"/>
  <c r="E16" i="29" s="1"/>
  <c r="O45" i="31"/>
  <c r="W25" i="32" s="1"/>
  <c r="L9" i="29"/>
  <c r="L16" i="29" s="1"/>
  <c r="C13" i="29"/>
  <c r="C45" i="31" s="1"/>
  <c r="L25" i="32" s="1"/>
  <c r="J13" i="29"/>
  <c r="L45" i="31" s="1"/>
  <c r="T25" i="32" s="1"/>
  <c r="P9" i="29"/>
  <c r="P16" i="29" s="1"/>
  <c r="V4" i="31" s="1"/>
  <c r="V48" i="31" s="1"/>
  <c r="W45" i="31"/>
  <c r="AB25" i="32" s="1"/>
  <c r="Y45" i="31"/>
  <c r="AD25" i="32" s="1"/>
  <c r="Y52" i="31"/>
  <c r="F115" i="30"/>
  <c r="F116" i="30"/>
  <c r="F117" i="30"/>
  <c r="F118" i="30"/>
  <c r="F119" i="30"/>
  <c r="F120" i="30"/>
  <c r="F121" i="30"/>
  <c r="F122" i="30"/>
  <c r="F123" i="30"/>
  <c r="F124" i="30"/>
  <c r="F125" i="30"/>
  <c r="F126" i="30"/>
  <c r="F127" i="30"/>
  <c r="F128" i="30"/>
  <c r="F129" i="30"/>
  <c r="F130" i="30"/>
  <c r="F131" i="30"/>
  <c r="F132" i="30"/>
  <c r="F133" i="30"/>
  <c r="F134" i="30"/>
  <c r="F135" i="30"/>
  <c r="F136" i="30"/>
  <c r="F137" i="30"/>
  <c r="F138" i="30"/>
  <c r="F139" i="30"/>
  <c r="O52" i="31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W52" i="31"/>
  <c r="M52" i="31"/>
  <c r="S104" i="30"/>
  <c r="M9" i="30"/>
  <c r="M158" i="30"/>
  <c r="M30" i="30" s="1"/>
  <c r="M159" i="30"/>
  <c r="M31" i="30" s="1"/>
  <c r="M160" i="30"/>
  <c r="M32" i="30" s="1"/>
  <c r="M161" i="30"/>
  <c r="M33" i="30" s="1"/>
  <c r="M162" i="30"/>
  <c r="M34" i="30" s="1"/>
  <c r="M163" i="30"/>
  <c r="M35" i="30" s="1"/>
  <c r="O25" i="31" s="1"/>
  <c r="M164" i="30"/>
  <c r="M36" i="30" s="1"/>
  <c r="O26" i="31" s="1"/>
  <c r="M165" i="30"/>
  <c r="M37" i="30" s="1"/>
  <c r="O27" i="31" s="1"/>
  <c r="M166" i="30"/>
  <c r="M38" i="30" s="1"/>
  <c r="O28" i="31" s="1"/>
  <c r="M167" i="30"/>
  <c r="M39" i="30" s="1"/>
  <c r="O29" i="31" s="1"/>
  <c r="M168" i="30"/>
  <c r="M40" i="30" s="1"/>
  <c r="O30" i="31" s="1"/>
  <c r="M169" i="30"/>
  <c r="M41" i="30" s="1"/>
  <c r="O31" i="31" s="1"/>
  <c r="M170" i="30"/>
  <c r="M42" i="30" s="1"/>
  <c r="O32" i="31" s="1"/>
  <c r="M171" i="30"/>
  <c r="M43" i="30" s="1"/>
  <c r="O33" i="31" s="1"/>
  <c r="M172" i="30"/>
  <c r="M44" i="30" s="1"/>
  <c r="O34" i="31" s="1"/>
  <c r="M173" i="30"/>
  <c r="M45" i="30" s="1"/>
  <c r="O35" i="31" s="1"/>
  <c r="M174" i="30"/>
  <c r="M46" i="30" s="1"/>
  <c r="O36" i="31" s="1"/>
  <c r="V13" i="32" s="1"/>
  <c r="M175" i="30"/>
  <c r="M47" i="30" s="1"/>
  <c r="O37" i="31" s="1"/>
  <c r="V14" i="32" s="1"/>
  <c r="M176" i="30"/>
  <c r="M48" i="30" s="1"/>
  <c r="O38" i="31" s="1"/>
  <c r="V15" i="32" s="1"/>
  <c r="M177" i="30"/>
  <c r="M49" i="30" s="1"/>
  <c r="O39" i="31" s="1"/>
  <c r="M178" i="30"/>
  <c r="M50" i="30" s="1"/>
  <c r="O40" i="31" s="1"/>
  <c r="M179" i="30"/>
  <c r="M51" i="30" s="1"/>
  <c r="O41" i="31" s="1"/>
  <c r="M180" i="30"/>
  <c r="M52" i="30" s="1"/>
  <c r="O42" i="31" s="1"/>
  <c r="M181" i="30"/>
  <c r="M53" i="30" s="1"/>
  <c r="O43" i="31" s="1"/>
  <c r="M182" i="30"/>
  <c r="M54" i="30" s="1"/>
  <c r="O44" i="31" s="1"/>
  <c r="S115" i="30"/>
  <c r="S117" i="30"/>
  <c r="S119" i="30"/>
  <c r="S121" i="30"/>
  <c r="S123" i="30"/>
  <c r="S125" i="30"/>
  <c r="S127" i="30"/>
  <c r="S129" i="30"/>
  <c r="S131" i="30"/>
  <c r="S133" i="30"/>
  <c r="S135" i="30"/>
  <c r="S137" i="30"/>
  <c r="S139" i="30"/>
  <c r="J158" i="30"/>
  <c r="J159" i="30"/>
  <c r="J160" i="30"/>
  <c r="J161" i="30"/>
  <c r="J162" i="30"/>
  <c r="J163" i="30"/>
  <c r="J164" i="30"/>
  <c r="J165" i="30"/>
  <c r="J166" i="30"/>
  <c r="J167" i="30"/>
  <c r="J168" i="30"/>
  <c r="J169" i="30"/>
  <c r="J170" i="30"/>
  <c r="J171" i="30"/>
  <c r="J172" i="30"/>
  <c r="J173" i="30"/>
  <c r="J174" i="30"/>
  <c r="J175" i="30"/>
  <c r="J176" i="30"/>
  <c r="J177" i="30"/>
  <c r="J178" i="30"/>
  <c r="J179" i="30"/>
  <c r="J180" i="30"/>
  <c r="J181" i="30"/>
  <c r="J182" i="30"/>
  <c r="S112" i="30"/>
  <c r="S110" i="30"/>
  <c r="K32" i="29"/>
  <c r="K33" i="29"/>
  <c r="K34" i="29"/>
  <c r="K35" i="29"/>
  <c r="K36" i="29"/>
  <c r="S30" i="29"/>
  <c r="S32" i="29"/>
  <c r="S33" i="29"/>
  <c r="S34" i="29"/>
  <c r="S35" i="29"/>
  <c r="S36" i="29"/>
  <c r="M32" i="29"/>
  <c r="M33" i="29"/>
  <c r="M34" i="29"/>
  <c r="M35" i="29"/>
  <c r="M36" i="29"/>
  <c r="F114" i="26"/>
  <c r="G86" i="26"/>
  <c r="G30" i="26" s="1"/>
  <c r="G87" i="26"/>
  <c r="G31" i="26" s="1"/>
  <c r="G88" i="26"/>
  <c r="G32" i="26" s="1"/>
  <c r="G89" i="26"/>
  <c r="G33" i="26" s="1"/>
  <c r="G90" i="26"/>
  <c r="G34" i="26" s="1"/>
  <c r="G91" i="26"/>
  <c r="G35" i="26" s="1"/>
  <c r="G92" i="26"/>
  <c r="G36" i="26" s="1"/>
  <c r="G93" i="26"/>
  <c r="G37" i="26" s="1"/>
  <c r="G94" i="26"/>
  <c r="G38" i="26" s="1"/>
  <c r="G95" i="26"/>
  <c r="G39" i="26" s="1"/>
  <c r="H86" i="26"/>
  <c r="H30" i="26" s="1"/>
  <c r="H87" i="26"/>
  <c r="H31" i="26" s="1"/>
  <c r="H88" i="26"/>
  <c r="H32" i="26" s="1"/>
  <c r="H89" i="26"/>
  <c r="H33" i="26" s="1"/>
  <c r="H90" i="26"/>
  <c r="H34" i="26" s="1"/>
  <c r="H91" i="26"/>
  <c r="H35" i="26" s="1"/>
  <c r="H92" i="26"/>
  <c r="H36" i="26" s="1"/>
  <c r="H93" i="26"/>
  <c r="H37" i="26" s="1"/>
  <c r="H94" i="26"/>
  <c r="H38" i="26" s="1"/>
  <c r="H95" i="26"/>
  <c r="H39" i="26" s="1"/>
  <c r="F11" i="25"/>
  <c r="F12" i="25" s="1"/>
  <c r="O9" i="12"/>
  <c r="O11" i="12" s="1"/>
  <c r="E9" i="12"/>
  <c r="E16" i="12" s="1"/>
  <c r="X14" i="12"/>
  <c r="Y7" i="10"/>
  <c r="Y31" i="11"/>
  <c r="AG24" i="14" s="1"/>
  <c r="D9" i="12"/>
  <c r="D16" i="12" s="1"/>
  <c r="P14" i="12"/>
  <c r="F9" i="12"/>
  <c r="F16" i="12" s="1"/>
  <c r="Z7" i="10"/>
  <c r="Z113" i="10" s="1"/>
  <c r="S31" i="11"/>
  <c r="AB24" i="14" s="1"/>
  <c r="AB31" i="11"/>
  <c r="AJ24" i="14" s="1"/>
  <c r="AD31" i="11"/>
  <c r="AL24" i="14" s="1"/>
  <c r="AA31" i="11"/>
  <c r="AI24" i="14" s="1"/>
  <c r="R24" i="14"/>
  <c r="Z24" i="14"/>
  <c r="V24" i="14"/>
  <c r="P11" i="29"/>
  <c r="P12" i="29" s="1"/>
  <c r="P30" i="29" s="1"/>
  <c r="S108" i="30"/>
  <c r="S103" i="30"/>
  <c r="S106" i="30"/>
  <c r="J11" i="29"/>
  <c r="J12" i="29" s="1"/>
  <c r="T12" i="32" s="1"/>
  <c r="N31" i="11"/>
  <c r="W24" i="14" s="1"/>
  <c r="G31" i="11"/>
  <c r="P24" i="14" s="1"/>
  <c r="AC31" i="11"/>
  <c r="AK24" i="14" s="1"/>
  <c r="T31" i="11"/>
  <c r="AC24" i="14" s="1"/>
  <c r="W31" i="11"/>
  <c r="AE24" i="14" s="1"/>
  <c r="R31" i="11"/>
  <c r="AA24" i="14" s="1"/>
  <c r="P57" i="10"/>
  <c r="P58" i="10"/>
  <c r="P59" i="10"/>
  <c r="P60" i="10"/>
  <c r="P61" i="10"/>
  <c r="P62" i="10"/>
  <c r="P63" i="10"/>
  <c r="P64" i="10"/>
  <c r="P65" i="10"/>
  <c r="P66" i="10"/>
  <c r="Z57" i="10"/>
  <c r="Z58" i="10"/>
  <c r="Z59" i="10"/>
  <c r="Z60" i="10"/>
  <c r="Z61" i="10"/>
  <c r="Z62" i="10"/>
  <c r="Z63" i="10"/>
  <c r="Z64" i="10"/>
  <c r="Z65" i="10"/>
  <c r="Z66" i="10"/>
  <c r="N57" i="10"/>
  <c r="N58" i="10"/>
  <c r="N59" i="10"/>
  <c r="N60" i="10"/>
  <c r="N61" i="10"/>
  <c r="N62" i="10"/>
  <c r="N63" i="10"/>
  <c r="N64" i="10"/>
  <c r="N65" i="10"/>
  <c r="N66" i="10"/>
  <c r="AA84" i="10"/>
  <c r="AA85" i="10"/>
  <c r="AA86" i="10"/>
  <c r="AA87" i="10"/>
  <c r="AA88" i="10"/>
  <c r="AA89" i="10"/>
  <c r="AA90" i="10"/>
  <c r="AA91" i="10"/>
  <c r="AA92" i="10"/>
  <c r="AA93" i="10"/>
  <c r="AA94" i="10"/>
  <c r="Y85" i="10"/>
  <c r="Y86" i="10"/>
  <c r="Y87" i="10"/>
  <c r="Y88" i="10"/>
  <c r="Y89" i="10"/>
  <c r="Y90" i="10"/>
  <c r="Y91" i="10"/>
  <c r="Y92" i="10"/>
  <c r="Y93" i="10"/>
  <c r="Y94" i="10"/>
  <c r="S85" i="10"/>
  <c r="S86" i="10"/>
  <c r="S87" i="10"/>
  <c r="S88" i="10"/>
  <c r="S89" i="10"/>
  <c r="S90" i="10"/>
  <c r="S91" i="10"/>
  <c r="S92" i="10"/>
  <c r="S93" i="10"/>
  <c r="S94" i="10"/>
  <c r="H6" i="10"/>
  <c r="H70" i="10" s="1"/>
  <c r="R85" i="10"/>
  <c r="R86" i="10"/>
  <c r="R87" i="10"/>
  <c r="R88" i="10"/>
  <c r="R89" i="10"/>
  <c r="R90" i="10"/>
  <c r="R91" i="10"/>
  <c r="R92" i="10"/>
  <c r="R93" i="10"/>
  <c r="R94" i="10"/>
  <c r="X85" i="10"/>
  <c r="X86" i="10"/>
  <c r="X87" i="10"/>
  <c r="X88" i="10"/>
  <c r="X89" i="10"/>
  <c r="X90" i="10"/>
  <c r="X91" i="10"/>
  <c r="X92" i="10"/>
  <c r="X93" i="10"/>
  <c r="X94" i="10"/>
  <c r="P85" i="10"/>
  <c r="P86" i="10"/>
  <c r="P87" i="10"/>
  <c r="P88" i="10"/>
  <c r="P89" i="10"/>
  <c r="P90" i="10"/>
  <c r="P91" i="10"/>
  <c r="P92" i="10"/>
  <c r="P93" i="10"/>
  <c r="P94" i="10"/>
  <c r="I128" i="10"/>
  <c r="I57" i="10"/>
  <c r="I58" i="10"/>
  <c r="I59" i="10"/>
  <c r="I60" i="10"/>
  <c r="I61" i="10"/>
  <c r="I62" i="10"/>
  <c r="I63" i="10"/>
  <c r="I64" i="10"/>
  <c r="I65" i="10"/>
  <c r="I66" i="10"/>
  <c r="G128" i="10"/>
  <c r="G57" i="10"/>
  <c r="G58" i="10"/>
  <c r="G59" i="10"/>
  <c r="G60" i="10"/>
  <c r="G61" i="10"/>
  <c r="G62" i="10"/>
  <c r="G63" i="10"/>
  <c r="G64" i="10"/>
  <c r="G65" i="10"/>
  <c r="G66" i="10"/>
  <c r="F128" i="10"/>
  <c r="F57" i="10"/>
  <c r="F58" i="10"/>
  <c r="F59" i="10"/>
  <c r="F60" i="10"/>
  <c r="F61" i="10"/>
  <c r="F62" i="10"/>
  <c r="F63" i="10"/>
  <c r="F64" i="10"/>
  <c r="F65" i="10"/>
  <c r="F66" i="10"/>
  <c r="J6" i="10"/>
  <c r="J81" i="10" s="1"/>
  <c r="T85" i="10"/>
  <c r="T86" i="10"/>
  <c r="T87" i="10"/>
  <c r="T88" i="10"/>
  <c r="T89" i="10"/>
  <c r="T90" i="10"/>
  <c r="T91" i="10"/>
  <c r="T92" i="10"/>
  <c r="T93" i="10"/>
  <c r="T94" i="10"/>
  <c r="O85" i="10"/>
  <c r="O86" i="10"/>
  <c r="O87" i="10"/>
  <c r="O88" i="10"/>
  <c r="O89" i="10"/>
  <c r="O90" i="10"/>
  <c r="O91" i="10"/>
  <c r="O92" i="10"/>
  <c r="O93" i="10"/>
  <c r="O94" i="10"/>
  <c r="Q71" i="10"/>
  <c r="Q85" i="10"/>
  <c r="Q86" i="10"/>
  <c r="Q87" i="10"/>
  <c r="Q88" i="10"/>
  <c r="Q89" i="10"/>
  <c r="Q90" i="10"/>
  <c r="Q91" i="10"/>
  <c r="Q92" i="10"/>
  <c r="Q93" i="10"/>
  <c r="Q94" i="10"/>
  <c r="M85" i="10"/>
  <c r="M86" i="10"/>
  <c r="M87" i="10"/>
  <c r="M88" i="10"/>
  <c r="M89" i="10"/>
  <c r="M90" i="10"/>
  <c r="M91" i="10"/>
  <c r="M92" i="10"/>
  <c r="M93" i="10"/>
  <c r="M94" i="10"/>
  <c r="AC85" i="10"/>
  <c r="AC86" i="10"/>
  <c r="AC87" i="10"/>
  <c r="AC88" i="10"/>
  <c r="AC89" i="10"/>
  <c r="AC90" i="10"/>
  <c r="AC91" i="10"/>
  <c r="AC92" i="10"/>
  <c r="AC93" i="10"/>
  <c r="AC94" i="10"/>
  <c r="N71" i="10"/>
  <c r="N85" i="10"/>
  <c r="N86" i="10"/>
  <c r="N87" i="10"/>
  <c r="N88" i="10"/>
  <c r="N89" i="10"/>
  <c r="N90" i="10"/>
  <c r="N91" i="10"/>
  <c r="N92" i="10"/>
  <c r="N93" i="10"/>
  <c r="N94" i="10"/>
  <c r="Z83" i="10"/>
  <c r="Z85" i="10"/>
  <c r="Z86" i="10"/>
  <c r="Z87" i="10"/>
  <c r="Z88" i="10"/>
  <c r="Z89" i="10"/>
  <c r="Z90" i="10"/>
  <c r="Z91" i="10"/>
  <c r="Z92" i="10"/>
  <c r="Z93" i="10"/>
  <c r="Z94" i="10"/>
  <c r="W81" i="10"/>
  <c r="W85" i="10"/>
  <c r="W86" i="10"/>
  <c r="W87" i="10"/>
  <c r="W88" i="10"/>
  <c r="W89" i="10"/>
  <c r="W90" i="10"/>
  <c r="W91" i="10"/>
  <c r="W92" i="10"/>
  <c r="W93" i="10"/>
  <c r="W94" i="10"/>
  <c r="M113" i="10"/>
  <c r="M114" i="10"/>
  <c r="M115" i="10"/>
  <c r="M116" i="10"/>
  <c r="M117" i="10"/>
  <c r="M118" i="10"/>
  <c r="M119" i="10"/>
  <c r="M120" i="10"/>
  <c r="M121" i="10"/>
  <c r="M122" i="10"/>
  <c r="W111" i="10"/>
  <c r="W113" i="10"/>
  <c r="W114" i="10"/>
  <c r="W115" i="10"/>
  <c r="W116" i="10"/>
  <c r="W117" i="10"/>
  <c r="W118" i="10"/>
  <c r="W119" i="10"/>
  <c r="W120" i="10"/>
  <c r="W121" i="10"/>
  <c r="W122" i="10"/>
  <c r="AC111" i="10"/>
  <c r="AC113" i="10"/>
  <c r="AC114" i="10"/>
  <c r="AC115" i="10"/>
  <c r="AC116" i="10"/>
  <c r="AC117" i="10"/>
  <c r="AC118" i="10"/>
  <c r="AC119" i="10"/>
  <c r="AC120" i="10"/>
  <c r="AC121" i="10"/>
  <c r="AC122" i="10"/>
  <c r="N113" i="10"/>
  <c r="N114" i="10"/>
  <c r="N115" i="10"/>
  <c r="N116" i="10"/>
  <c r="N117" i="10"/>
  <c r="N118" i="10"/>
  <c r="N119" i="10"/>
  <c r="N120" i="10"/>
  <c r="N121" i="10"/>
  <c r="N122" i="10"/>
  <c r="AD113" i="10"/>
  <c r="AD114" i="10"/>
  <c r="AD115" i="10"/>
  <c r="AD116" i="10"/>
  <c r="AD117" i="10"/>
  <c r="AD118" i="10"/>
  <c r="AD119" i="10"/>
  <c r="AD120" i="10"/>
  <c r="AD121" i="10"/>
  <c r="AD122" i="10"/>
  <c r="T113" i="10"/>
  <c r="T114" i="10"/>
  <c r="T115" i="10"/>
  <c r="T116" i="10"/>
  <c r="T117" i="10"/>
  <c r="T118" i="10"/>
  <c r="T119" i="10"/>
  <c r="T120" i="10"/>
  <c r="T121" i="10"/>
  <c r="T122" i="10"/>
  <c r="Y113" i="10"/>
  <c r="Y114" i="10"/>
  <c r="Y115" i="10"/>
  <c r="Y116" i="10"/>
  <c r="Y117" i="10"/>
  <c r="Y118" i="10"/>
  <c r="Y119" i="10"/>
  <c r="Y120" i="10"/>
  <c r="Y121" i="10"/>
  <c r="Y122" i="10"/>
  <c r="S113" i="10"/>
  <c r="S114" i="10"/>
  <c r="S115" i="10"/>
  <c r="S116" i="10"/>
  <c r="S117" i="10"/>
  <c r="S118" i="10"/>
  <c r="S119" i="10"/>
  <c r="S120" i="10"/>
  <c r="S121" i="10"/>
  <c r="S122" i="10"/>
  <c r="AA113" i="10"/>
  <c r="AA114" i="10"/>
  <c r="AA115" i="10"/>
  <c r="AA116" i="10"/>
  <c r="AA117" i="10"/>
  <c r="AA118" i="10"/>
  <c r="AA119" i="10"/>
  <c r="AA120" i="10"/>
  <c r="AA121" i="10"/>
  <c r="AA122" i="10"/>
  <c r="Q113" i="10"/>
  <c r="Q114" i="10"/>
  <c r="Q115" i="10"/>
  <c r="Q116" i="10"/>
  <c r="Q117" i="10"/>
  <c r="Q118" i="10"/>
  <c r="Q119" i="10"/>
  <c r="Q120" i="10"/>
  <c r="Q121" i="10"/>
  <c r="Q122" i="10"/>
  <c r="R113" i="10"/>
  <c r="R114" i="10"/>
  <c r="R115" i="10"/>
  <c r="R116" i="10"/>
  <c r="R117" i="10"/>
  <c r="R118" i="10"/>
  <c r="R119" i="10"/>
  <c r="R120" i="10"/>
  <c r="R121" i="10"/>
  <c r="R122" i="10"/>
  <c r="AB113" i="10"/>
  <c r="AB114" i="10"/>
  <c r="AB115" i="10"/>
  <c r="AB116" i="10"/>
  <c r="AB117" i="10"/>
  <c r="AB118" i="10"/>
  <c r="AB119" i="10"/>
  <c r="AB120" i="10"/>
  <c r="AB121" i="10"/>
  <c r="AB122" i="10"/>
  <c r="Z114" i="10"/>
  <c r="Z116" i="10"/>
  <c r="Z118" i="10"/>
  <c r="Z120" i="10"/>
  <c r="Z122" i="10"/>
  <c r="S23" i="29"/>
  <c r="S24" i="29"/>
  <c r="H72" i="10"/>
  <c r="S19" i="29"/>
  <c r="S27" i="29"/>
  <c r="S20" i="29"/>
  <c r="S28" i="29"/>
  <c r="C9" i="12"/>
  <c r="C16" i="12" s="1"/>
  <c r="S17" i="29"/>
  <c r="AD22" i="32" s="1"/>
  <c r="S21" i="29"/>
  <c r="S25" i="29"/>
  <c r="S29" i="29"/>
  <c r="S18" i="29"/>
  <c r="S22" i="29"/>
  <c r="S26" i="29"/>
  <c r="E13" i="29"/>
  <c r="D7" i="26"/>
  <c r="Q11" i="29"/>
  <c r="Q12" i="29" s="1"/>
  <c r="C9" i="29"/>
  <c r="C16" i="29" s="1"/>
  <c r="L13" i="29"/>
  <c r="N45" i="31" s="1"/>
  <c r="V25" i="32" s="1"/>
  <c r="L11" i="29"/>
  <c r="L12" i="29" s="1"/>
  <c r="V12" i="32" s="1"/>
  <c r="F11" i="29"/>
  <c r="F12" i="29" s="1"/>
  <c r="O12" i="32" s="1"/>
  <c r="C6" i="10"/>
  <c r="C73" i="10" s="1"/>
  <c r="E11" i="29"/>
  <c r="E12" i="29" s="1"/>
  <c r="N12" i="32" s="1"/>
  <c r="D14" i="12"/>
  <c r="D31" i="11" s="1"/>
  <c r="M24" i="14" s="1"/>
  <c r="H84" i="10"/>
  <c r="H78" i="10"/>
  <c r="D16" i="29"/>
  <c r="D11" i="29"/>
  <c r="D12" i="29" s="1"/>
  <c r="M12" i="32" s="1"/>
  <c r="R11" i="29"/>
  <c r="R12" i="29" s="1"/>
  <c r="R25" i="29" s="1"/>
  <c r="R15" i="30"/>
  <c r="K31" i="29"/>
  <c r="K29" i="29"/>
  <c r="K27" i="29"/>
  <c r="M15" i="31" s="1"/>
  <c r="K25" i="29"/>
  <c r="K23" i="29"/>
  <c r="K21" i="29"/>
  <c r="M9" i="31" s="1"/>
  <c r="K19" i="29"/>
  <c r="K17" i="29"/>
  <c r="U22" i="32" s="1"/>
  <c r="K30" i="29"/>
  <c r="K28" i="29"/>
  <c r="K26" i="29"/>
  <c r="K24" i="29"/>
  <c r="K22" i="29"/>
  <c r="K20" i="29"/>
  <c r="K18" i="29"/>
  <c r="M4" i="31"/>
  <c r="M31" i="29"/>
  <c r="M24" i="29"/>
  <c r="M28" i="29"/>
  <c r="M20" i="29"/>
  <c r="M22" i="29"/>
  <c r="M30" i="29"/>
  <c r="M19" i="29"/>
  <c r="M23" i="29"/>
  <c r="M27" i="29"/>
  <c r="M18" i="29"/>
  <c r="M26" i="29"/>
  <c r="M17" i="29"/>
  <c r="W22" i="32" s="1"/>
  <c r="M21" i="29"/>
  <c r="M25" i="29"/>
  <c r="M29" i="29"/>
  <c r="O4" i="31"/>
  <c r="F114" i="30"/>
  <c r="F112" i="30"/>
  <c r="F110" i="30"/>
  <c r="F108" i="30"/>
  <c r="F106" i="30"/>
  <c r="F104" i="30"/>
  <c r="F102" i="30"/>
  <c r="F100" i="30"/>
  <c r="F200" i="30"/>
  <c r="F113" i="30"/>
  <c r="F111" i="30"/>
  <c r="F109" i="30"/>
  <c r="F107" i="30"/>
  <c r="F105" i="30"/>
  <c r="F103" i="30"/>
  <c r="F101" i="30"/>
  <c r="T15" i="30"/>
  <c r="R17" i="29"/>
  <c r="AC22" i="32" s="1"/>
  <c r="R24" i="29"/>
  <c r="X4" i="31"/>
  <c r="P31" i="29"/>
  <c r="P26" i="29"/>
  <c r="P18" i="29"/>
  <c r="P24" i="29"/>
  <c r="P17" i="29"/>
  <c r="AA22" i="32" s="1"/>
  <c r="P25" i="29"/>
  <c r="P19" i="29"/>
  <c r="P27" i="29"/>
  <c r="F7" i="30"/>
  <c r="M157" i="30"/>
  <c r="M29" i="30" s="1"/>
  <c r="M155" i="30"/>
  <c r="M153" i="30"/>
  <c r="M151" i="30"/>
  <c r="M23" i="30" s="1"/>
  <c r="M149" i="30"/>
  <c r="M21" i="30" s="1"/>
  <c r="M147" i="30"/>
  <c r="M19" i="30" s="1"/>
  <c r="M145" i="30"/>
  <c r="M17" i="30" s="1"/>
  <c r="M143" i="30"/>
  <c r="M156" i="30"/>
  <c r="M28" i="30" s="1"/>
  <c r="M154" i="30"/>
  <c r="M152" i="30"/>
  <c r="M24" i="30" s="1"/>
  <c r="M150" i="30"/>
  <c r="M22" i="30" s="1"/>
  <c r="M148" i="30"/>
  <c r="M20" i="30" s="1"/>
  <c r="M146" i="30"/>
  <c r="M144" i="30"/>
  <c r="M16" i="30" s="1"/>
  <c r="C7" i="30"/>
  <c r="J157" i="30"/>
  <c r="J155" i="30"/>
  <c r="J153" i="30"/>
  <c r="J151" i="30"/>
  <c r="J149" i="30"/>
  <c r="J147" i="30"/>
  <c r="J145" i="30"/>
  <c r="J143" i="30"/>
  <c r="J156" i="30"/>
  <c r="J154" i="30"/>
  <c r="J152" i="30"/>
  <c r="J150" i="30"/>
  <c r="J148" i="30"/>
  <c r="J146" i="30"/>
  <c r="J144" i="30"/>
  <c r="K15" i="30"/>
  <c r="D114" i="30"/>
  <c r="D112" i="30"/>
  <c r="D110" i="30"/>
  <c r="D108" i="30"/>
  <c r="D106" i="30"/>
  <c r="D104" i="30"/>
  <c r="D102" i="30"/>
  <c r="D100" i="30"/>
  <c r="D200" i="30"/>
  <c r="D113" i="30"/>
  <c r="D111" i="30"/>
  <c r="D109" i="30"/>
  <c r="D107" i="30"/>
  <c r="D105" i="30"/>
  <c r="D103" i="30"/>
  <c r="D101" i="30"/>
  <c r="D9" i="30"/>
  <c r="E31" i="29"/>
  <c r="E19" i="29"/>
  <c r="E21" i="29"/>
  <c r="E29" i="29"/>
  <c r="E24" i="29"/>
  <c r="E25" i="29"/>
  <c r="E22" i="29"/>
  <c r="E4" i="31"/>
  <c r="N11" i="32" s="1"/>
  <c r="C4" i="31"/>
  <c r="L11" i="32" s="1"/>
  <c r="L29" i="29"/>
  <c r="L25" i="29"/>
  <c r="L21" i="29"/>
  <c r="L17" i="29"/>
  <c r="V22" i="32" s="1"/>
  <c r="L28" i="29"/>
  <c r="L24" i="29"/>
  <c r="L20" i="29"/>
  <c r="N4" i="31"/>
  <c r="J29" i="29"/>
  <c r="J25" i="29"/>
  <c r="J21" i="29"/>
  <c r="J17" i="29"/>
  <c r="T22" i="32" s="1"/>
  <c r="J28" i="29"/>
  <c r="J24" i="29"/>
  <c r="J20" i="29"/>
  <c r="L4" i="31"/>
  <c r="Y15" i="31"/>
  <c r="M18" i="30"/>
  <c r="M25" i="30"/>
  <c r="F47" i="10"/>
  <c r="Y6" i="31"/>
  <c r="M27" i="30"/>
  <c r="M26" i="30"/>
  <c r="I52" i="10"/>
  <c r="W84" i="10"/>
  <c r="F46" i="10"/>
  <c r="S4" i="10"/>
  <c r="S58" i="10" s="1"/>
  <c r="F55" i="10"/>
  <c r="F54" i="10"/>
  <c r="G56" i="10"/>
  <c r="I51" i="10"/>
  <c r="G55" i="10"/>
  <c r="G48" i="10"/>
  <c r="G102" i="26"/>
  <c r="G103" i="26"/>
  <c r="G110" i="26"/>
  <c r="G108" i="26"/>
  <c r="G111" i="26"/>
  <c r="G109" i="26"/>
  <c r="G113" i="26"/>
  <c r="G100" i="26"/>
  <c r="G99" i="26"/>
  <c r="G105" i="26"/>
  <c r="G112" i="26"/>
  <c r="G107" i="26"/>
  <c r="G106" i="26"/>
  <c r="G101" i="26"/>
  <c r="G104" i="26"/>
  <c r="H102" i="26"/>
  <c r="H105" i="26"/>
  <c r="H108" i="26"/>
  <c r="H111" i="26"/>
  <c r="H109" i="26"/>
  <c r="H110" i="26"/>
  <c r="H113" i="26"/>
  <c r="H104" i="26"/>
  <c r="H99" i="26"/>
  <c r="H112" i="26"/>
  <c r="H106" i="26"/>
  <c r="H107" i="26"/>
  <c r="H101" i="26"/>
  <c r="H100" i="26"/>
  <c r="H103" i="26"/>
  <c r="G52" i="10"/>
  <c r="G44" i="10"/>
  <c r="G51" i="10"/>
  <c r="G43" i="10"/>
  <c r="I44" i="10"/>
  <c r="I43" i="10"/>
  <c r="Z9" i="12"/>
  <c r="Z11" i="12" s="1"/>
  <c r="Z12" i="12" s="1"/>
  <c r="AA11" i="12"/>
  <c r="AA12" i="12" s="1"/>
  <c r="H80" i="10"/>
  <c r="H76" i="10"/>
  <c r="H82" i="10"/>
  <c r="H73" i="10"/>
  <c r="X9" i="12"/>
  <c r="X11" i="12" s="1"/>
  <c r="X12" i="12" s="1"/>
  <c r="Y9" i="12"/>
  <c r="Y11" i="12" s="1"/>
  <c r="Y12" i="12" s="1"/>
  <c r="E14" i="12"/>
  <c r="O14" i="12"/>
  <c r="Z14" i="12"/>
  <c r="I6" i="10"/>
  <c r="F6" i="10"/>
  <c r="F72" i="10" s="1"/>
  <c r="J6" i="26"/>
  <c r="Q4" i="10"/>
  <c r="Q58" i="10" s="1"/>
  <c r="Q31" i="10" s="1"/>
  <c r="G127" i="10"/>
  <c r="E6" i="10"/>
  <c r="E81" i="10" s="1"/>
  <c r="G6" i="10"/>
  <c r="D6" i="10"/>
  <c r="D83" i="10" s="1"/>
  <c r="F42" i="10"/>
  <c r="F127" i="10"/>
  <c r="G7" i="10"/>
  <c r="H7" i="10"/>
  <c r="H100" i="10" s="1"/>
  <c r="O7" i="10"/>
  <c r="X84" i="10"/>
  <c r="X7" i="10"/>
  <c r="J7" i="10"/>
  <c r="P71" i="10"/>
  <c r="P7" i="10"/>
  <c r="C7" i="10"/>
  <c r="I7" i="10"/>
  <c r="G45" i="10"/>
  <c r="G54" i="10"/>
  <c r="G50" i="10"/>
  <c r="G46" i="10"/>
  <c r="G42" i="10"/>
  <c r="G53" i="10"/>
  <c r="G49" i="10"/>
  <c r="F51" i="10"/>
  <c r="F43" i="10"/>
  <c r="F50" i="10"/>
  <c r="N76" i="10"/>
  <c r="I47" i="10"/>
  <c r="F14" i="12"/>
  <c r="C14" i="12"/>
  <c r="I56" i="10"/>
  <c r="I48" i="10"/>
  <c r="I55" i="10"/>
  <c r="N53" i="10"/>
  <c r="W73" i="10"/>
  <c r="AC106" i="10"/>
  <c r="W77" i="10"/>
  <c r="AA81" i="10"/>
  <c r="N84" i="10"/>
  <c r="AA75" i="10"/>
  <c r="N80" i="10"/>
  <c r="N72" i="10"/>
  <c r="P9" i="12"/>
  <c r="P11" i="12" s="1"/>
  <c r="AA73" i="10"/>
  <c r="AA77" i="10"/>
  <c r="N82" i="10"/>
  <c r="N78" i="10"/>
  <c r="N74" i="10"/>
  <c r="N70" i="10"/>
  <c r="AC99" i="10"/>
  <c r="AC102" i="10"/>
  <c r="AC110" i="10"/>
  <c r="Q83" i="10"/>
  <c r="Q80" i="10"/>
  <c r="Z74" i="10"/>
  <c r="D5" i="10"/>
  <c r="Q84" i="10"/>
  <c r="Q82" i="10"/>
  <c r="Q76" i="10"/>
  <c r="Z70" i="10"/>
  <c r="P72" i="10"/>
  <c r="W71" i="10"/>
  <c r="W75" i="10"/>
  <c r="W79" i="10"/>
  <c r="W83" i="10"/>
  <c r="W70" i="10"/>
  <c r="W72" i="10"/>
  <c r="W74" i="10"/>
  <c r="W76" i="10"/>
  <c r="W78" i="10"/>
  <c r="W80" i="10"/>
  <c r="W82" i="10"/>
  <c r="I45" i="10"/>
  <c r="X72" i="10"/>
  <c r="Q81" i="10"/>
  <c r="Q78" i="10"/>
  <c r="Q74" i="10"/>
  <c r="Q70" i="10"/>
  <c r="N83" i="10"/>
  <c r="N81" i="10"/>
  <c r="N79" i="10"/>
  <c r="N77" i="10"/>
  <c r="N75" i="10"/>
  <c r="N73" i="10"/>
  <c r="X80" i="10"/>
  <c r="F44" i="10"/>
  <c r="G77" i="10"/>
  <c r="AC98" i="10"/>
  <c r="AC100" i="10"/>
  <c r="AC104" i="10"/>
  <c r="AC108" i="10"/>
  <c r="AC112" i="10"/>
  <c r="AA70" i="10"/>
  <c r="AA72" i="10"/>
  <c r="AA74" i="10"/>
  <c r="AA76" i="10"/>
  <c r="AA79" i="10"/>
  <c r="AA83" i="10"/>
  <c r="Z72" i="10"/>
  <c r="Z77" i="10"/>
  <c r="Z81" i="10"/>
  <c r="P81" i="10"/>
  <c r="R11" i="12"/>
  <c r="S11" i="12"/>
  <c r="AC11" i="12"/>
  <c r="AC12" i="12" s="1"/>
  <c r="AB11" i="12"/>
  <c r="AB12" i="12" s="1"/>
  <c r="Q11" i="12"/>
  <c r="N11" i="12"/>
  <c r="T11" i="12"/>
  <c r="AD11" i="12"/>
  <c r="AD12" i="12" s="1"/>
  <c r="AA78" i="10"/>
  <c r="AA80" i="10"/>
  <c r="AA82" i="10"/>
  <c r="Z71" i="10"/>
  <c r="Z73" i="10"/>
  <c r="Z75" i="10"/>
  <c r="Z79" i="10"/>
  <c r="Z84" i="10"/>
  <c r="P77" i="10"/>
  <c r="Z76" i="10"/>
  <c r="Z78" i="10"/>
  <c r="Z80" i="10"/>
  <c r="Z82" i="10"/>
  <c r="P83" i="10"/>
  <c r="P79" i="10"/>
  <c r="P75" i="10"/>
  <c r="P84" i="10"/>
  <c r="P82" i="10"/>
  <c r="P80" i="10"/>
  <c r="P78" i="10"/>
  <c r="P76" i="10"/>
  <c r="P74" i="10"/>
  <c r="P70" i="10"/>
  <c r="J11" i="12"/>
  <c r="W100" i="10"/>
  <c r="P73" i="10"/>
  <c r="W108" i="10"/>
  <c r="W104" i="10"/>
  <c r="W112" i="10"/>
  <c r="F53" i="10"/>
  <c r="F49" i="10"/>
  <c r="F45" i="10"/>
  <c r="F56" i="10"/>
  <c r="F52" i="10"/>
  <c r="F48" i="10"/>
  <c r="X76" i="10"/>
  <c r="X70" i="10"/>
  <c r="X74" i="10"/>
  <c r="X78" i="10"/>
  <c r="X82" i="10"/>
  <c r="Q79" i="10"/>
  <c r="Q77" i="10"/>
  <c r="Q75" i="10"/>
  <c r="Q73" i="10"/>
  <c r="D47" i="10"/>
  <c r="D46" i="10"/>
  <c r="X71" i="10"/>
  <c r="X73" i="10"/>
  <c r="X75" i="10"/>
  <c r="X77" i="10"/>
  <c r="X79" i="10"/>
  <c r="X81" i="10"/>
  <c r="X83" i="10"/>
  <c r="Z9" i="10"/>
  <c r="E83" i="10"/>
  <c r="O3" i="10"/>
  <c r="Y3" i="10" s="1"/>
  <c r="E5" i="10"/>
  <c r="R3" i="10"/>
  <c r="AB3" i="10" s="1"/>
  <c r="H5" i="10"/>
  <c r="T3" i="10"/>
  <c r="AD3" i="10" s="1"/>
  <c r="J5" i="10"/>
  <c r="W98" i="10"/>
  <c r="W102" i="10"/>
  <c r="W106" i="10"/>
  <c r="W110" i="10"/>
  <c r="W99" i="10"/>
  <c r="W101" i="10"/>
  <c r="W103" i="10"/>
  <c r="W105" i="10"/>
  <c r="W107" i="10"/>
  <c r="W109" i="10"/>
  <c r="AC101" i="10"/>
  <c r="AC103" i="10"/>
  <c r="AC105" i="10"/>
  <c r="AC107" i="10"/>
  <c r="AC109" i="10"/>
  <c r="I54" i="10"/>
  <c r="I50" i="10"/>
  <c r="I46" i="10"/>
  <c r="I42" i="10"/>
  <c r="I53" i="10"/>
  <c r="I49" i="10"/>
  <c r="C78" i="10"/>
  <c r="C82" i="10"/>
  <c r="C71" i="10"/>
  <c r="F6" i="26"/>
  <c r="D6" i="26"/>
  <c r="S9" i="10"/>
  <c r="D72" i="10"/>
  <c r="Y112" i="10"/>
  <c r="Y111" i="10"/>
  <c r="Y110" i="10"/>
  <c r="Y109" i="10"/>
  <c r="Y108" i="10"/>
  <c r="Y107" i="10"/>
  <c r="Y106" i="10"/>
  <c r="Y105" i="10"/>
  <c r="Y104" i="10"/>
  <c r="Y103" i="10"/>
  <c r="Y102" i="10"/>
  <c r="Y101" i="10"/>
  <c r="Y100" i="10"/>
  <c r="Y99" i="10"/>
  <c r="Y98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AB112" i="10"/>
  <c r="AB111" i="10"/>
  <c r="AB110" i="10"/>
  <c r="AB109" i="10"/>
  <c r="AB108" i="10"/>
  <c r="AB107" i="10"/>
  <c r="AB106" i="10"/>
  <c r="AB105" i="10"/>
  <c r="AB104" i="10"/>
  <c r="AB103" i="10"/>
  <c r="AB102" i="10"/>
  <c r="AB101" i="10"/>
  <c r="AB100" i="10"/>
  <c r="AB99" i="10"/>
  <c r="AB98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Z112" i="10"/>
  <c r="Z110" i="10"/>
  <c r="Z108" i="10"/>
  <c r="Z106" i="10"/>
  <c r="Z104" i="10"/>
  <c r="Z102" i="10"/>
  <c r="Z100" i="10"/>
  <c r="Z98" i="10"/>
  <c r="P55" i="10"/>
  <c r="P53" i="10"/>
  <c r="P51" i="10"/>
  <c r="P49" i="10"/>
  <c r="P47" i="10"/>
  <c r="P45" i="10"/>
  <c r="P43" i="10"/>
  <c r="P42" i="10"/>
  <c r="P56" i="10"/>
  <c r="P54" i="10"/>
  <c r="P52" i="10"/>
  <c r="P50" i="10"/>
  <c r="P48" i="10"/>
  <c r="P46" i="10"/>
  <c r="P44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Q56" i="10"/>
  <c r="Q54" i="10"/>
  <c r="Q52" i="10"/>
  <c r="Q50" i="10"/>
  <c r="Q48" i="10"/>
  <c r="Q46" i="10"/>
  <c r="Q44" i="10"/>
  <c r="Q55" i="10"/>
  <c r="Q53" i="10"/>
  <c r="Q51" i="10"/>
  <c r="Q49" i="10"/>
  <c r="Q47" i="10"/>
  <c r="Q45" i="10"/>
  <c r="Q43" i="10"/>
  <c r="Q42" i="10"/>
  <c r="S55" i="10"/>
  <c r="S53" i="10"/>
  <c r="S51" i="10"/>
  <c r="S49" i="10"/>
  <c r="S47" i="10"/>
  <c r="S45" i="10"/>
  <c r="S43" i="10"/>
  <c r="S42" i="10"/>
  <c r="S56" i="10"/>
  <c r="S54" i="10"/>
  <c r="S52" i="10"/>
  <c r="S50" i="10"/>
  <c r="S48" i="10"/>
  <c r="S46" i="10"/>
  <c r="S44" i="10"/>
  <c r="N44" i="10"/>
  <c r="N48" i="10"/>
  <c r="N52" i="10"/>
  <c r="N56" i="10"/>
  <c r="N43" i="10"/>
  <c r="N47" i="10"/>
  <c r="N51" i="10"/>
  <c r="N55" i="10"/>
  <c r="X106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AA112" i="10"/>
  <c r="AA111" i="10"/>
  <c r="AA110" i="10"/>
  <c r="AA109" i="10"/>
  <c r="AA108" i="10"/>
  <c r="AA107" i="10"/>
  <c r="AA106" i="10"/>
  <c r="AA105" i="10"/>
  <c r="AA104" i="10"/>
  <c r="AA103" i="10"/>
  <c r="AA102" i="10"/>
  <c r="AA101" i="10"/>
  <c r="AA100" i="10"/>
  <c r="AA99" i="10"/>
  <c r="AA98" i="10"/>
  <c r="AD112" i="10"/>
  <c r="AD111" i="10"/>
  <c r="AD110" i="10"/>
  <c r="AD109" i="10"/>
  <c r="AD108" i="10"/>
  <c r="AD107" i="10"/>
  <c r="AD106" i="10"/>
  <c r="AD105" i="10"/>
  <c r="AD104" i="10"/>
  <c r="AD103" i="10"/>
  <c r="AD102" i="10"/>
  <c r="AD101" i="10"/>
  <c r="AD100" i="10"/>
  <c r="AD99" i="10"/>
  <c r="AD98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Z56" i="10"/>
  <c r="Z55" i="10"/>
  <c r="Z54" i="10"/>
  <c r="Z53" i="10"/>
  <c r="Z52" i="10"/>
  <c r="Z51" i="10"/>
  <c r="Z50" i="10"/>
  <c r="Z49" i="10"/>
  <c r="Z48" i="10"/>
  <c r="Z47" i="10"/>
  <c r="Z46" i="10"/>
  <c r="Z45" i="10"/>
  <c r="Z44" i="10"/>
  <c r="Z43" i="10"/>
  <c r="Z42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AC84" i="10"/>
  <c r="AC83" i="10"/>
  <c r="AC82" i="10"/>
  <c r="AC81" i="10"/>
  <c r="AC80" i="10"/>
  <c r="AC79" i="10"/>
  <c r="AC78" i="10"/>
  <c r="AC77" i="10"/>
  <c r="AC76" i="10"/>
  <c r="AC75" i="10"/>
  <c r="AC74" i="10"/>
  <c r="AC73" i="10"/>
  <c r="AC72" i="10"/>
  <c r="AC71" i="10"/>
  <c r="AC70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AB84" i="10"/>
  <c r="AB83" i="10"/>
  <c r="AB82" i="10"/>
  <c r="AB81" i="10"/>
  <c r="AB80" i="10"/>
  <c r="AB79" i="10"/>
  <c r="AB78" i="10"/>
  <c r="AB77" i="10"/>
  <c r="AB76" i="10"/>
  <c r="AB75" i="10"/>
  <c r="AB74" i="10"/>
  <c r="AB73" i="10"/>
  <c r="AB72" i="10"/>
  <c r="AB71" i="10"/>
  <c r="AB70" i="10"/>
  <c r="AD84" i="10"/>
  <c r="AD83" i="10"/>
  <c r="AD82" i="10"/>
  <c r="AD81" i="10"/>
  <c r="AD80" i="10"/>
  <c r="AD79" i="10"/>
  <c r="AD78" i="10"/>
  <c r="AD77" i="10"/>
  <c r="AD76" i="10"/>
  <c r="AD75" i="10"/>
  <c r="AD74" i="10"/>
  <c r="AD73" i="10"/>
  <c r="AD72" i="10"/>
  <c r="AD71" i="10"/>
  <c r="AD70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Y84" i="10"/>
  <c r="Y83" i="10"/>
  <c r="Y82" i="10"/>
  <c r="Y81" i="10"/>
  <c r="Y80" i="10"/>
  <c r="Y79" i="10"/>
  <c r="Y78" i="10"/>
  <c r="Y77" i="10"/>
  <c r="Y76" i="10"/>
  <c r="Y75" i="10"/>
  <c r="Y74" i="10"/>
  <c r="Y73" i="10"/>
  <c r="Y72" i="10"/>
  <c r="Y71" i="10"/>
  <c r="Y70" i="10"/>
  <c r="N46" i="10"/>
  <c r="N50" i="10"/>
  <c r="N54" i="10"/>
  <c r="N42" i="10"/>
  <c r="N45" i="10"/>
  <c r="N49" i="10"/>
  <c r="I5" i="11"/>
  <c r="F5" i="11"/>
  <c r="D5" i="11"/>
  <c r="H5" i="11"/>
  <c r="J80" i="10"/>
  <c r="J82" i="10"/>
  <c r="J84" i="10"/>
  <c r="J70" i="10"/>
  <c r="J71" i="10"/>
  <c r="J73" i="10"/>
  <c r="J75" i="10"/>
  <c r="T16" i="12"/>
  <c r="Q16" i="12"/>
  <c r="E5" i="11"/>
  <c r="Q9" i="10"/>
  <c r="Q10" i="10" s="1"/>
  <c r="N9" i="10"/>
  <c r="W4" i="10"/>
  <c r="AA4" i="10"/>
  <c r="AA58" i="10" s="1"/>
  <c r="AA31" i="10" s="1"/>
  <c r="X4" i="10"/>
  <c r="X58" i="10" s="1"/>
  <c r="AC4" i="10"/>
  <c r="AC58" i="10" s="1"/>
  <c r="AC31" i="10" s="1"/>
  <c r="E43" i="10"/>
  <c r="E47" i="10"/>
  <c r="E51" i="10"/>
  <c r="E55" i="10"/>
  <c r="E44" i="10"/>
  <c r="E48" i="10"/>
  <c r="E52" i="10"/>
  <c r="E56" i="10"/>
  <c r="J48" i="10"/>
  <c r="J56" i="10"/>
  <c r="J49" i="10"/>
  <c r="G98" i="10"/>
  <c r="H42" i="10"/>
  <c r="H46" i="10"/>
  <c r="H50" i="10"/>
  <c r="H54" i="10"/>
  <c r="H43" i="10"/>
  <c r="H47" i="10"/>
  <c r="H51" i="10"/>
  <c r="H55" i="10"/>
  <c r="F11" i="12"/>
  <c r="F12" i="12" s="1"/>
  <c r="R16" i="12"/>
  <c r="G5" i="11"/>
  <c r="D11" i="12"/>
  <c r="D12" i="12" s="1"/>
  <c r="S16" i="12"/>
  <c r="N16" i="12"/>
  <c r="J5" i="11"/>
  <c r="M16" i="12"/>
  <c r="C5" i="11"/>
  <c r="R4" i="10"/>
  <c r="R9" i="10" s="1"/>
  <c r="O4" i="10"/>
  <c r="O58" i="10" s="1"/>
  <c r="T4" i="10"/>
  <c r="T9" i="10" s="1"/>
  <c r="AA16" i="12"/>
  <c r="AD16" i="12"/>
  <c r="H11" i="12"/>
  <c r="E11" i="12"/>
  <c r="G11" i="12"/>
  <c r="G12" i="12" s="1"/>
  <c r="M10" i="12"/>
  <c r="S24" i="14"/>
  <c r="I11" i="12"/>
  <c r="I12" i="12" s="1"/>
  <c r="Q24" i="14"/>
  <c r="O7" i="14"/>
  <c r="O26" i="14" s="1"/>
  <c r="P7" i="14"/>
  <c r="P26" i="14" s="1"/>
  <c r="D12" i="6"/>
  <c r="G12" i="6"/>
  <c r="H12" i="6"/>
  <c r="M7" i="14"/>
  <c r="M26" i="14" s="1"/>
  <c r="S7" i="14"/>
  <c r="S26" i="14" s="1"/>
  <c r="B5" i="6"/>
  <c r="B34" i="6" s="1"/>
  <c r="L5" i="14"/>
  <c r="F122" i="26" l="1"/>
  <c r="F118" i="26"/>
  <c r="J9" i="30"/>
  <c r="M8" i="31"/>
  <c r="Y18" i="31"/>
  <c r="Y17" i="31"/>
  <c r="Y7" i="31"/>
  <c r="Y16" i="31"/>
  <c r="Y9" i="31"/>
  <c r="E113" i="30"/>
  <c r="E109" i="30"/>
  <c r="E105" i="30"/>
  <c r="E101" i="30"/>
  <c r="E112" i="30"/>
  <c r="E108" i="30"/>
  <c r="E104" i="30"/>
  <c r="E100" i="30"/>
  <c r="E200" i="30"/>
  <c r="E111" i="30"/>
  <c r="E107" i="30"/>
  <c r="E103" i="30"/>
  <c r="E114" i="30"/>
  <c r="E110" i="30"/>
  <c r="E106" i="30"/>
  <c r="E102" i="30"/>
  <c r="M16" i="31"/>
  <c r="M17" i="31"/>
  <c r="O16" i="12"/>
  <c r="J74" i="10"/>
  <c r="J72" i="10"/>
  <c r="J78" i="10"/>
  <c r="J79" i="10"/>
  <c r="J76" i="10"/>
  <c r="J77" i="10"/>
  <c r="J83" i="10"/>
  <c r="Z99" i="10"/>
  <c r="Z101" i="10"/>
  <c r="Z18" i="10" s="1"/>
  <c r="Z103" i="10"/>
  <c r="Z105" i="10"/>
  <c r="Z107" i="10"/>
  <c r="Z109" i="10"/>
  <c r="Z26" i="10" s="1"/>
  <c r="Z111" i="10"/>
  <c r="D78" i="10"/>
  <c r="D74" i="10"/>
  <c r="C83" i="10"/>
  <c r="C80" i="10"/>
  <c r="C76" i="10"/>
  <c r="E74" i="10"/>
  <c r="E76" i="10"/>
  <c r="F70" i="10"/>
  <c r="H79" i="10"/>
  <c r="H83" i="10"/>
  <c r="H77" i="10"/>
  <c r="H71" i="10"/>
  <c r="S31" i="10"/>
  <c r="J18" i="29"/>
  <c r="J22" i="29"/>
  <c r="J26" i="29"/>
  <c r="J30" i="29"/>
  <c r="J19" i="29"/>
  <c r="J23" i="29"/>
  <c r="J27" i="29"/>
  <c r="J31" i="29"/>
  <c r="L18" i="29"/>
  <c r="L22" i="29"/>
  <c r="L26" i="29"/>
  <c r="L30" i="29"/>
  <c r="L19" i="29"/>
  <c r="L23" i="29"/>
  <c r="L27" i="29"/>
  <c r="L31" i="29"/>
  <c r="P23" i="29"/>
  <c r="P29" i="29"/>
  <c r="P21" i="29"/>
  <c r="P20" i="29"/>
  <c r="P28" i="29"/>
  <c r="P22" i="29"/>
  <c r="M10" i="31"/>
  <c r="M18" i="31"/>
  <c r="M7" i="31"/>
  <c r="H75" i="10"/>
  <c r="H81" i="10"/>
  <c r="Z121" i="10"/>
  <c r="Z38" i="10" s="1"/>
  <c r="Z29" i="11" s="1"/>
  <c r="Z119" i="10"/>
  <c r="Z117" i="10"/>
  <c r="Z34" i="10" s="1"/>
  <c r="Z115" i="10"/>
  <c r="S107" i="30"/>
  <c r="S101" i="30"/>
  <c r="S100" i="30"/>
  <c r="S9" i="30"/>
  <c r="F120" i="26"/>
  <c r="F116" i="26"/>
  <c r="Y23" i="31"/>
  <c r="Y21" i="31"/>
  <c r="M23" i="31"/>
  <c r="M21" i="31"/>
  <c r="S113" i="30"/>
  <c r="S111" i="30"/>
  <c r="S138" i="30"/>
  <c r="S136" i="30"/>
  <c r="S134" i="30"/>
  <c r="S132" i="30"/>
  <c r="S130" i="30"/>
  <c r="S128" i="30"/>
  <c r="S126" i="30"/>
  <c r="S124" i="30"/>
  <c r="S122" i="30"/>
  <c r="S120" i="30"/>
  <c r="S118" i="30"/>
  <c r="S116" i="30"/>
  <c r="Y8" i="31"/>
  <c r="Y10" i="31"/>
  <c r="Y11" i="31"/>
  <c r="Y13" i="31"/>
  <c r="Y14" i="31"/>
  <c r="D181" i="30"/>
  <c r="D158" i="30"/>
  <c r="D30" i="30" s="1"/>
  <c r="D160" i="30"/>
  <c r="D162" i="30"/>
  <c r="D34" i="30" s="1"/>
  <c r="D164" i="30"/>
  <c r="D166" i="30"/>
  <c r="D38" i="30" s="1"/>
  <c r="D28" i="31" s="1"/>
  <c r="D168" i="30"/>
  <c r="D170" i="30"/>
  <c r="D42" i="30" s="1"/>
  <c r="D32" i="31" s="1"/>
  <c r="D172" i="30"/>
  <c r="D174" i="30"/>
  <c r="D46" i="30" s="1"/>
  <c r="D36" i="31" s="1"/>
  <c r="M13" i="32" s="1"/>
  <c r="D176" i="30"/>
  <c r="D178" i="30"/>
  <c r="D50" i="30" s="1"/>
  <c r="D40" i="31" s="1"/>
  <c r="D156" i="30"/>
  <c r="D152" i="30"/>
  <c r="D24" i="30" s="1"/>
  <c r="D148" i="30"/>
  <c r="D144" i="30"/>
  <c r="D16" i="30" s="1"/>
  <c r="D155" i="30"/>
  <c r="D151" i="30"/>
  <c r="D147" i="30"/>
  <c r="D143" i="30"/>
  <c r="D15" i="30" s="1"/>
  <c r="D180" i="30"/>
  <c r="D182" i="30"/>
  <c r="D54" i="30" s="1"/>
  <c r="D44" i="31" s="1"/>
  <c r="D159" i="30"/>
  <c r="D161" i="30"/>
  <c r="D163" i="30"/>
  <c r="D165" i="30"/>
  <c r="D167" i="30"/>
  <c r="D169" i="30"/>
  <c r="D171" i="30"/>
  <c r="D173" i="30"/>
  <c r="D175" i="30"/>
  <c r="D177" i="30"/>
  <c r="D179" i="30"/>
  <c r="D201" i="30"/>
  <c r="D154" i="30"/>
  <c r="D150" i="30"/>
  <c r="D22" i="30" s="1"/>
  <c r="D146" i="30"/>
  <c r="D157" i="30"/>
  <c r="D29" i="30" s="1"/>
  <c r="D153" i="30"/>
  <c r="D149" i="30"/>
  <c r="D21" i="30" s="1"/>
  <c r="D145" i="30"/>
  <c r="Q115" i="30"/>
  <c r="Q117" i="30"/>
  <c r="Q119" i="30"/>
  <c r="Q121" i="30"/>
  <c r="Q123" i="30"/>
  <c r="Q125" i="30"/>
  <c r="Q127" i="30"/>
  <c r="Q129" i="30"/>
  <c r="Q131" i="30"/>
  <c r="Q133" i="30"/>
  <c r="Q135" i="30"/>
  <c r="Q137" i="30"/>
  <c r="Q139" i="30"/>
  <c r="Q112" i="30"/>
  <c r="Q110" i="30"/>
  <c r="Q105" i="30"/>
  <c r="Q113" i="30"/>
  <c r="Q100" i="30"/>
  <c r="Q114" i="30"/>
  <c r="Q107" i="30"/>
  <c r="Q9" i="30"/>
  <c r="Q116" i="30"/>
  <c r="Q118" i="30"/>
  <c r="Q120" i="30"/>
  <c r="Q122" i="30"/>
  <c r="Q124" i="30"/>
  <c r="Q126" i="30"/>
  <c r="Q128" i="30"/>
  <c r="Q130" i="30"/>
  <c r="Q132" i="30"/>
  <c r="Q134" i="30"/>
  <c r="Q136" i="30"/>
  <c r="Q138" i="30"/>
  <c r="Q102" i="30"/>
  <c r="Q104" i="30"/>
  <c r="Q101" i="30"/>
  <c r="Q109" i="30"/>
  <c r="Q106" i="30"/>
  <c r="Q108" i="30"/>
  <c r="Q103" i="30"/>
  <c r="Q111" i="30"/>
  <c r="L159" i="30"/>
  <c r="L161" i="30"/>
  <c r="L163" i="30"/>
  <c r="L165" i="30"/>
  <c r="L167" i="30"/>
  <c r="L169" i="30"/>
  <c r="L171" i="30"/>
  <c r="L173" i="30"/>
  <c r="L175" i="30"/>
  <c r="L177" i="30"/>
  <c r="L179" i="30"/>
  <c r="L181" i="30"/>
  <c r="L156" i="30"/>
  <c r="L152" i="30"/>
  <c r="L148" i="30"/>
  <c r="L144" i="30"/>
  <c r="L155" i="30"/>
  <c r="L151" i="30"/>
  <c r="L147" i="30"/>
  <c r="L143" i="30"/>
  <c r="L158" i="30"/>
  <c r="L160" i="30"/>
  <c r="L162" i="30"/>
  <c r="L164" i="30"/>
  <c r="L166" i="30"/>
  <c r="L168" i="30"/>
  <c r="L170" i="30"/>
  <c r="L172" i="30"/>
  <c r="L174" i="30"/>
  <c r="L176" i="30"/>
  <c r="L178" i="30"/>
  <c r="L180" i="30"/>
  <c r="L182" i="30"/>
  <c r="E7" i="30"/>
  <c r="L154" i="30"/>
  <c r="L150" i="30"/>
  <c r="L146" i="30"/>
  <c r="L157" i="30"/>
  <c r="L153" i="30"/>
  <c r="L149" i="30"/>
  <c r="L145" i="30"/>
  <c r="S102" i="30"/>
  <c r="S114" i="30"/>
  <c r="S109" i="30"/>
  <c r="Z36" i="11"/>
  <c r="D18" i="30"/>
  <c r="D26" i="30"/>
  <c r="D17" i="30"/>
  <c r="D25" i="30"/>
  <c r="M6" i="31"/>
  <c r="M14" i="31"/>
  <c r="M11" i="31"/>
  <c r="M19" i="31"/>
  <c r="D52" i="30"/>
  <c r="D42" i="31" s="1"/>
  <c r="D48" i="30"/>
  <c r="D38" i="31" s="1"/>
  <c r="M15" i="32" s="1"/>
  <c r="D44" i="30"/>
  <c r="D34" i="31" s="1"/>
  <c r="D40" i="30"/>
  <c r="D30" i="31" s="1"/>
  <c r="D36" i="30"/>
  <c r="D26" i="31" s="1"/>
  <c r="D32" i="30"/>
  <c r="M53" i="31"/>
  <c r="Y53" i="31"/>
  <c r="W53" i="31"/>
  <c r="Q159" i="30"/>
  <c r="Q161" i="30"/>
  <c r="Q163" i="30"/>
  <c r="Q165" i="30"/>
  <c r="Q167" i="30"/>
  <c r="Q169" i="30"/>
  <c r="Q171" i="30"/>
  <c r="Q173" i="30"/>
  <c r="Q175" i="30"/>
  <c r="Q177" i="30"/>
  <c r="Q179" i="30"/>
  <c r="Q181" i="30"/>
  <c r="Q155" i="30"/>
  <c r="Q151" i="30"/>
  <c r="Q147" i="30"/>
  <c r="Q143" i="30"/>
  <c r="Q154" i="30"/>
  <c r="Q150" i="30"/>
  <c r="Q146" i="30"/>
  <c r="Q158" i="30"/>
  <c r="Q160" i="30"/>
  <c r="Q162" i="30"/>
  <c r="Q164" i="30"/>
  <c r="Q166" i="30"/>
  <c r="Q168" i="30"/>
  <c r="Q170" i="30"/>
  <c r="Q172" i="30"/>
  <c r="Q174" i="30"/>
  <c r="Q176" i="30"/>
  <c r="Q178" i="30"/>
  <c r="Q180" i="30"/>
  <c r="Q182" i="30"/>
  <c r="Q157" i="30"/>
  <c r="Q153" i="30"/>
  <c r="Q149" i="30"/>
  <c r="Q145" i="30"/>
  <c r="Q156" i="30"/>
  <c r="Q152" i="30"/>
  <c r="Q148" i="30"/>
  <c r="Q144" i="30"/>
  <c r="J116" i="30"/>
  <c r="J118" i="30"/>
  <c r="J120" i="30"/>
  <c r="J122" i="30"/>
  <c r="J124" i="30"/>
  <c r="J126" i="30"/>
  <c r="J128" i="30"/>
  <c r="J130" i="30"/>
  <c r="J132" i="30"/>
  <c r="J134" i="30"/>
  <c r="J136" i="30"/>
  <c r="J138" i="30"/>
  <c r="J104" i="30"/>
  <c r="J19" i="30" s="1"/>
  <c r="J102" i="30"/>
  <c r="J101" i="30"/>
  <c r="J109" i="30"/>
  <c r="J24" i="30" s="1"/>
  <c r="J100" i="30"/>
  <c r="J114" i="30"/>
  <c r="J29" i="30" s="1"/>
  <c r="J103" i="30"/>
  <c r="J18" i="30" s="1"/>
  <c r="L8" i="31" s="1"/>
  <c r="J111" i="30"/>
  <c r="J26" i="30" s="1"/>
  <c r="L16" i="31" s="1"/>
  <c r="C6" i="30"/>
  <c r="J115" i="30"/>
  <c r="J30" i="30" s="1"/>
  <c r="J117" i="30"/>
  <c r="J32" i="30" s="1"/>
  <c r="J119" i="30"/>
  <c r="J34" i="30" s="1"/>
  <c r="J121" i="30"/>
  <c r="J36" i="30" s="1"/>
  <c r="L26" i="31" s="1"/>
  <c r="J123" i="30"/>
  <c r="J38" i="30" s="1"/>
  <c r="L28" i="31" s="1"/>
  <c r="J125" i="30"/>
  <c r="J40" i="30" s="1"/>
  <c r="L30" i="31" s="1"/>
  <c r="J127" i="30"/>
  <c r="J42" i="30" s="1"/>
  <c r="L32" i="31" s="1"/>
  <c r="J129" i="30"/>
  <c r="J44" i="30" s="1"/>
  <c r="L34" i="31" s="1"/>
  <c r="J131" i="30"/>
  <c r="J46" i="30" s="1"/>
  <c r="L36" i="31" s="1"/>
  <c r="J133" i="30"/>
  <c r="J48" i="30" s="1"/>
  <c r="L38" i="31" s="1"/>
  <c r="J135" i="30"/>
  <c r="J50" i="30" s="1"/>
  <c r="L40" i="31" s="1"/>
  <c r="J137" i="30"/>
  <c r="J52" i="30" s="1"/>
  <c r="L42" i="31" s="1"/>
  <c r="J139" i="30"/>
  <c r="J54" i="30" s="1"/>
  <c r="L44" i="31" s="1"/>
  <c r="J110" i="30"/>
  <c r="J112" i="30"/>
  <c r="J27" i="30" s="1"/>
  <c r="J105" i="30"/>
  <c r="J113" i="30"/>
  <c r="J28" i="30" s="1"/>
  <c r="J108" i="30"/>
  <c r="J23" i="30" s="1"/>
  <c r="J106" i="30"/>
  <c r="J21" i="30" s="1"/>
  <c r="J107" i="30"/>
  <c r="J22" i="30" s="1"/>
  <c r="L116" i="30"/>
  <c r="L31" i="30" s="1"/>
  <c r="L118" i="30"/>
  <c r="L120" i="30"/>
  <c r="L35" i="30" s="1"/>
  <c r="N25" i="31" s="1"/>
  <c r="L122" i="30"/>
  <c r="L124" i="30"/>
  <c r="L39" i="30" s="1"/>
  <c r="N29" i="31" s="1"/>
  <c r="L126" i="30"/>
  <c r="L128" i="30"/>
  <c r="L43" i="30" s="1"/>
  <c r="N33" i="31" s="1"/>
  <c r="L130" i="30"/>
  <c r="L132" i="30"/>
  <c r="L47" i="30" s="1"/>
  <c r="N37" i="31" s="1"/>
  <c r="U14" i="32" s="1"/>
  <c r="L134" i="30"/>
  <c r="L136" i="30"/>
  <c r="L51" i="30" s="1"/>
  <c r="N41" i="31" s="1"/>
  <c r="L138" i="30"/>
  <c r="L107" i="30"/>
  <c r="L22" i="30" s="1"/>
  <c r="N12" i="31" s="1"/>
  <c r="L109" i="30"/>
  <c r="L104" i="30"/>
  <c r="L19" i="30" s="1"/>
  <c r="N9" i="31" s="1"/>
  <c r="L112" i="30"/>
  <c r="L27" i="30" s="1"/>
  <c r="L111" i="30"/>
  <c r="L26" i="30" s="1"/>
  <c r="N16" i="31" s="1"/>
  <c r="L113" i="30"/>
  <c r="L28" i="30" s="1"/>
  <c r="L106" i="30"/>
  <c r="L21" i="30" s="1"/>
  <c r="N11" i="31" s="1"/>
  <c r="L114" i="30"/>
  <c r="L115" i="30"/>
  <c r="L30" i="30" s="1"/>
  <c r="L117" i="30"/>
  <c r="L119" i="30"/>
  <c r="L34" i="30" s="1"/>
  <c r="L121" i="30"/>
  <c r="L123" i="30"/>
  <c r="L38" i="30" s="1"/>
  <c r="N28" i="31" s="1"/>
  <c r="L125" i="30"/>
  <c r="L127" i="30"/>
  <c r="L42" i="30" s="1"/>
  <c r="N32" i="31" s="1"/>
  <c r="L129" i="30"/>
  <c r="L131" i="30"/>
  <c r="L46" i="30" s="1"/>
  <c r="N36" i="31" s="1"/>
  <c r="U13" i="32" s="1"/>
  <c r="L133" i="30"/>
  <c r="L135" i="30"/>
  <c r="L50" i="30" s="1"/>
  <c r="N40" i="31" s="1"/>
  <c r="L137" i="30"/>
  <c r="L139" i="30"/>
  <c r="L54" i="30" s="1"/>
  <c r="N44" i="31" s="1"/>
  <c r="L101" i="30"/>
  <c r="L100" i="30"/>
  <c r="L108" i="30"/>
  <c r="L103" i="30"/>
  <c r="L18" i="30" s="1"/>
  <c r="N8" i="31" s="1"/>
  <c r="L105" i="30"/>
  <c r="L20" i="30" s="1"/>
  <c r="L102" i="30"/>
  <c r="L17" i="30" s="1"/>
  <c r="N7" i="31" s="1"/>
  <c r="L110" i="30"/>
  <c r="L25" i="30" s="1"/>
  <c r="N15" i="31" s="1"/>
  <c r="L9" i="30"/>
  <c r="S158" i="30"/>
  <c r="S160" i="30"/>
  <c r="S32" i="30" s="1"/>
  <c r="S162" i="30"/>
  <c r="S164" i="30"/>
  <c r="S36" i="30" s="1"/>
  <c r="X26" i="31" s="1"/>
  <c r="S166" i="30"/>
  <c r="S168" i="30"/>
  <c r="S40" i="30" s="1"/>
  <c r="X30" i="31" s="1"/>
  <c r="S170" i="30"/>
  <c r="S172" i="30"/>
  <c r="S44" i="30" s="1"/>
  <c r="X34" i="31" s="1"/>
  <c r="S174" i="30"/>
  <c r="S176" i="30"/>
  <c r="S48" i="30" s="1"/>
  <c r="X38" i="31" s="1"/>
  <c r="AB15" i="32" s="1"/>
  <c r="S178" i="30"/>
  <c r="S180" i="30"/>
  <c r="S52" i="30" s="1"/>
  <c r="X42" i="31" s="1"/>
  <c r="S182" i="30"/>
  <c r="S154" i="30"/>
  <c r="S26" i="30" s="1"/>
  <c r="S150" i="30"/>
  <c r="S146" i="30"/>
  <c r="S18" i="30" s="1"/>
  <c r="S157" i="30"/>
  <c r="S153" i="30"/>
  <c r="S25" i="30" s="1"/>
  <c r="S149" i="30"/>
  <c r="S145" i="30"/>
  <c r="S159" i="30"/>
  <c r="S31" i="30" s="1"/>
  <c r="S161" i="30"/>
  <c r="S33" i="30" s="1"/>
  <c r="S163" i="30"/>
  <c r="S35" i="30" s="1"/>
  <c r="X25" i="31" s="1"/>
  <c r="S165" i="30"/>
  <c r="S37" i="30" s="1"/>
  <c r="X27" i="31" s="1"/>
  <c r="S167" i="30"/>
  <c r="S39" i="30" s="1"/>
  <c r="X29" i="31" s="1"/>
  <c r="S169" i="30"/>
  <c r="S41" i="30" s="1"/>
  <c r="X31" i="31" s="1"/>
  <c r="S171" i="30"/>
  <c r="S43" i="30" s="1"/>
  <c r="X33" i="31" s="1"/>
  <c r="S173" i="30"/>
  <c r="S45" i="30" s="1"/>
  <c r="X35" i="31" s="1"/>
  <c r="S175" i="30"/>
  <c r="S47" i="30" s="1"/>
  <c r="X37" i="31" s="1"/>
  <c r="AB14" i="32" s="1"/>
  <c r="S177" i="30"/>
  <c r="S49" i="30" s="1"/>
  <c r="X39" i="31" s="1"/>
  <c r="S179" i="30"/>
  <c r="S51" i="30" s="1"/>
  <c r="X41" i="31" s="1"/>
  <c r="S181" i="30"/>
  <c r="S53" i="30" s="1"/>
  <c r="X43" i="31" s="1"/>
  <c r="S156" i="30"/>
  <c r="S152" i="30"/>
  <c r="S148" i="30"/>
  <c r="S20" i="30" s="1"/>
  <c r="S144" i="30"/>
  <c r="S16" i="30" s="1"/>
  <c r="S155" i="30"/>
  <c r="S27" i="30" s="1"/>
  <c r="S151" i="30"/>
  <c r="S23" i="30" s="1"/>
  <c r="X13" i="31" s="1"/>
  <c r="S147" i="30"/>
  <c r="S143" i="30"/>
  <c r="N17" i="31"/>
  <c r="D20" i="30"/>
  <c r="D28" i="30"/>
  <c r="D19" i="30"/>
  <c r="D23" i="30"/>
  <c r="D27" i="30"/>
  <c r="U19" i="32"/>
  <c r="J16" i="30"/>
  <c r="J20" i="30"/>
  <c r="J17" i="30"/>
  <c r="J25" i="30"/>
  <c r="M12" i="31"/>
  <c r="M13" i="31"/>
  <c r="AB19" i="32"/>
  <c r="Y12" i="31"/>
  <c r="S21" i="30"/>
  <c r="Y24" i="31"/>
  <c r="Y22" i="31"/>
  <c r="Y20" i="31"/>
  <c r="M24" i="31"/>
  <c r="M22" i="31"/>
  <c r="M20" i="31"/>
  <c r="J53" i="30"/>
  <c r="L43" i="31" s="1"/>
  <c r="J51" i="30"/>
  <c r="L41" i="31" s="1"/>
  <c r="J49" i="30"/>
  <c r="L39" i="31" s="1"/>
  <c r="J47" i="30"/>
  <c r="L37" i="31" s="1"/>
  <c r="J45" i="30"/>
  <c r="L35" i="31" s="1"/>
  <c r="J43" i="30"/>
  <c r="L33" i="31" s="1"/>
  <c r="J41" i="30"/>
  <c r="L31" i="31" s="1"/>
  <c r="J39" i="30"/>
  <c r="L29" i="31" s="1"/>
  <c r="J37" i="30"/>
  <c r="L27" i="31" s="1"/>
  <c r="J35" i="30"/>
  <c r="L25" i="31" s="1"/>
  <c r="J33" i="30"/>
  <c r="J31" i="30"/>
  <c r="S54" i="30"/>
  <c r="X44" i="31" s="1"/>
  <c r="S50" i="30"/>
  <c r="X40" i="31" s="1"/>
  <c r="S46" i="30"/>
  <c r="X36" i="31" s="1"/>
  <c r="AB13" i="32" s="1"/>
  <c r="S42" i="30"/>
  <c r="X32" i="31" s="1"/>
  <c r="S38" i="30"/>
  <c r="X28" i="31" s="1"/>
  <c r="S34" i="30"/>
  <c r="S30" i="30"/>
  <c r="S19" i="30"/>
  <c r="D53" i="30"/>
  <c r="D43" i="31" s="1"/>
  <c r="D51" i="30"/>
  <c r="D41" i="31" s="1"/>
  <c r="D49" i="30"/>
  <c r="D39" i="31" s="1"/>
  <c r="D47" i="30"/>
  <c r="D37" i="31" s="1"/>
  <c r="M14" i="32" s="1"/>
  <c r="D45" i="30"/>
  <c r="D35" i="31" s="1"/>
  <c r="D43" i="30"/>
  <c r="D33" i="31" s="1"/>
  <c r="D41" i="30"/>
  <c r="D31" i="31" s="1"/>
  <c r="D39" i="30"/>
  <c r="D29" i="31" s="1"/>
  <c r="D37" i="30"/>
  <c r="D27" i="31" s="1"/>
  <c r="D35" i="30"/>
  <c r="D25" i="31" s="1"/>
  <c r="D33" i="30"/>
  <c r="D31" i="30"/>
  <c r="Y5" i="31"/>
  <c r="AD24" i="32" s="1"/>
  <c r="AD19" i="32"/>
  <c r="X48" i="31"/>
  <c r="AB11" i="32"/>
  <c r="AD23" i="32"/>
  <c r="AD20" i="32"/>
  <c r="W48" i="31"/>
  <c r="AA11" i="32"/>
  <c r="N48" i="31"/>
  <c r="V11" i="32"/>
  <c r="O48" i="31"/>
  <c r="W11" i="32"/>
  <c r="M48" i="31"/>
  <c r="U11" i="32"/>
  <c r="F48" i="31"/>
  <c r="W20" i="32"/>
  <c r="E48" i="31"/>
  <c r="D4" i="31"/>
  <c r="M11" i="32" s="1"/>
  <c r="U20" i="32"/>
  <c r="L48" i="31"/>
  <c r="T11" i="32"/>
  <c r="C48" i="31"/>
  <c r="F123" i="26"/>
  <c r="F121" i="26"/>
  <c r="F119" i="26"/>
  <c r="F117" i="26"/>
  <c r="F167" i="35"/>
  <c r="F165" i="35"/>
  <c r="F163" i="35"/>
  <c r="F161" i="35"/>
  <c r="F159" i="35"/>
  <c r="F157" i="35"/>
  <c r="F155" i="35"/>
  <c r="F153" i="35"/>
  <c r="F151" i="35"/>
  <c r="F149" i="35"/>
  <c r="F147" i="35"/>
  <c r="F145" i="35"/>
  <c r="F168" i="35"/>
  <c r="F166" i="35"/>
  <c r="F164" i="35"/>
  <c r="F162" i="35"/>
  <c r="F160" i="35"/>
  <c r="F158" i="35"/>
  <c r="F156" i="35"/>
  <c r="F154" i="35"/>
  <c r="F152" i="35"/>
  <c r="F150" i="35"/>
  <c r="F148" i="35"/>
  <c r="F146" i="35"/>
  <c r="F144" i="35"/>
  <c r="O49" i="31"/>
  <c r="M49" i="31"/>
  <c r="Y49" i="31"/>
  <c r="Y54" i="31" s="1"/>
  <c r="O24" i="31"/>
  <c r="O22" i="31"/>
  <c r="O20" i="31"/>
  <c r="C180" i="30"/>
  <c r="C181" i="30"/>
  <c r="C182" i="30"/>
  <c r="C158" i="30"/>
  <c r="C159" i="30"/>
  <c r="C160" i="30"/>
  <c r="C161" i="30"/>
  <c r="C162" i="30"/>
  <c r="C163" i="30"/>
  <c r="C164" i="30"/>
  <c r="C165" i="30"/>
  <c r="C166" i="30"/>
  <c r="C167" i="30"/>
  <c r="C168" i="30"/>
  <c r="C169" i="30"/>
  <c r="C170" i="30"/>
  <c r="C171" i="30"/>
  <c r="C172" i="30"/>
  <c r="C173" i="30"/>
  <c r="C174" i="30"/>
  <c r="C175" i="30"/>
  <c r="C176" i="30"/>
  <c r="C177" i="30"/>
  <c r="C178" i="30"/>
  <c r="C179" i="30"/>
  <c r="F180" i="30"/>
  <c r="F52" i="30" s="1"/>
  <c r="F42" i="31" s="1"/>
  <c r="F181" i="30"/>
  <c r="F53" i="30" s="1"/>
  <c r="F43" i="31" s="1"/>
  <c r="F182" i="30"/>
  <c r="F54" i="30" s="1"/>
  <c r="F44" i="31" s="1"/>
  <c r="F158" i="30"/>
  <c r="F30" i="30" s="1"/>
  <c r="F159" i="30"/>
  <c r="F31" i="30" s="1"/>
  <c r="F160" i="30"/>
  <c r="F32" i="30" s="1"/>
  <c r="F161" i="30"/>
  <c r="F33" i="30" s="1"/>
  <c r="F162" i="30"/>
  <c r="F34" i="30" s="1"/>
  <c r="F163" i="30"/>
  <c r="F35" i="30" s="1"/>
  <c r="F25" i="31" s="1"/>
  <c r="F164" i="30"/>
  <c r="F36" i="30" s="1"/>
  <c r="F26" i="31" s="1"/>
  <c r="F165" i="30"/>
  <c r="F166" i="30"/>
  <c r="F38" i="30" s="1"/>
  <c r="F28" i="31" s="1"/>
  <c r="F167" i="30"/>
  <c r="F39" i="30" s="1"/>
  <c r="F29" i="31" s="1"/>
  <c r="F168" i="30"/>
  <c r="F40" i="30" s="1"/>
  <c r="F30" i="31" s="1"/>
  <c r="F169" i="30"/>
  <c r="F41" i="30" s="1"/>
  <c r="F31" i="31" s="1"/>
  <c r="F170" i="30"/>
  <c r="F42" i="30" s="1"/>
  <c r="F32" i="31" s="1"/>
  <c r="F171" i="30"/>
  <c r="F43" i="30" s="1"/>
  <c r="F33" i="31" s="1"/>
  <c r="F172" i="30"/>
  <c r="F44" i="30" s="1"/>
  <c r="F34" i="31" s="1"/>
  <c r="F173" i="30"/>
  <c r="F45" i="30" s="1"/>
  <c r="F35" i="31" s="1"/>
  <c r="F174" i="30"/>
  <c r="F46" i="30" s="1"/>
  <c r="F36" i="31" s="1"/>
  <c r="O13" i="32" s="1"/>
  <c r="F175" i="30"/>
  <c r="F47" i="30" s="1"/>
  <c r="F37" i="31" s="1"/>
  <c r="O14" i="32" s="1"/>
  <c r="F176" i="30"/>
  <c r="F48" i="30" s="1"/>
  <c r="F38" i="31" s="1"/>
  <c r="O15" i="32" s="1"/>
  <c r="F177" i="30"/>
  <c r="F49" i="30" s="1"/>
  <c r="F39" i="31" s="1"/>
  <c r="F178" i="30"/>
  <c r="F50" i="30" s="1"/>
  <c r="F40" i="31" s="1"/>
  <c r="F179" i="30"/>
  <c r="F51" i="30" s="1"/>
  <c r="F41" i="31" s="1"/>
  <c r="F114" i="35"/>
  <c r="F105" i="35"/>
  <c r="F19" i="35" s="1"/>
  <c r="F101" i="35"/>
  <c r="F122" i="35"/>
  <c r="F118" i="35"/>
  <c r="F113" i="35"/>
  <c r="F27" i="35" s="1"/>
  <c r="F108" i="35"/>
  <c r="F106" i="35"/>
  <c r="F102" i="35"/>
  <c r="F123" i="35"/>
  <c r="F119" i="35"/>
  <c r="F115" i="35"/>
  <c r="F109" i="35"/>
  <c r="F107" i="35"/>
  <c r="F103" i="35"/>
  <c r="F124" i="35"/>
  <c r="F38" i="35" s="1"/>
  <c r="F120" i="35"/>
  <c r="F116" i="35"/>
  <c r="F30" i="35" s="1"/>
  <c r="F110" i="35"/>
  <c r="F111" i="35"/>
  <c r="F104" i="35"/>
  <c r="F125" i="35"/>
  <c r="F39" i="35" s="1"/>
  <c r="F121" i="35"/>
  <c r="F117" i="35"/>
  <c r="F31" i="35" s="1"/>
  <c r="F112" i="35"/>
  <c r="Y37" i="11"/>
  <c r="AG14" i="14" s="1"/>
  <c r="AD37" i="11"/>
  <c r="AD38" i="11"/>
  <c r="Z38" i="11"/>
  <c r="AB38" i="11"/>
  <c r="Y38" i="11"/>
  <c r="L53" i="31"/>
  <c r="O53" i="31"/>
  <c r="O23" i="31"/>
  <c r="O21" i="31"/>
  <c r="F37" i="30"/>
  <c r="F27" i="31" s="1"/>
  <c r="E45" i="31"/>
  <c r="N25" i="32" s="1"/>
  <c r="F52" i="31"/>
  <c r="E116" i="30"/>
  <c r="E118" i="30"/>
  <c r="E120" i="30"/>
  <c r="E122" i="30"/>
  <c r="E124" i="30"/>
  <c r="E126" i="30"/>
  <c r="E128" i="30"/>
  <c r="E130" i="30"/>
  <c r="E132" i="30"/>
  <c r="E134" i="30"/>
  <c r="E136" i="30"/>
  <c r="E138" i="30"/>
  <c r="E115" i="30"/>
  <c r="E117" i="30"/>
  <c r="E119" i="30"/>
  <c r="E121" i="30"/>
  <c r="E123" i="30"/>
  <c r="E125" i="30"/>
  <c r="E127" i="30"/>
  <c r="E129" i="30"/>
  <c r="E131" i="30"/>
  <c r="E133" i="30"/>
  <c r="E135" i="30"/>
  <c r="E137" i="30"/>
  <c r="E139" i="30"/>
  <c r="D52" i="31"/>
  <c r="D32" i="29"/>
  <c r="D33" i="29"/>
  <c r="D21" i="31" s="1"/>
  <c r="D34" i="29"/>
  <c r="D35" i="29"/>
  <c r="D23" i="31" s="1"/>
  <c r="D36" i="29"/>
  <c r="L32" i="29"/>
  <c r="N20" i="31" s="1"/>
  <c r="L33" i="29"/>
  <c r="L34" i="29"/>
  <c r="L35" i="29"/>
  <c r="L36" i="29"/>
  <c r="N24" i="31" s="1"/>
  <c r="J32" i="29"/>
  <c r="J33" i="29"/>
  <c r="L21" i="31" s="1"/>
  <c r="J34" i="29"/>
  <c r="J35" i="29"/>
  <c r="L23" i="31" s="1"/>
  <c r="J36" i="29"/>
  <c r="P32" i="29"/>
  <c r="P33" i="29"/>
  <c r="P34" i="29"/>
  <c r="P35" i="29"/>
  <c r="P36" i="29"/>
  <c r="R31" i="29"/>
  <c r="R32" i="29"/>
  <c r="X20" i="31" s="1"/>
  <c r="R33" i="29"/>
  <c r="R34" i="29"/>
  <c r="R35" i="29"/>
  <c r="R36" i="29"/>
  <c r="X24" i="31" s="1"/>
  <c r="E30" i="29"/>
  <c r="E32" i="29"/>
  <c r="E33" i="29"/>
  <c r="E34" i="29"/>
  <c r="E35" i="29"/>
  <c r="E36" i="29"/>
  <c r="F32" i="29"/>
  <c r="F33" i="29"/>
  <c r="F34" i="29"/>
  <c r="F35" i="29"/>
  <c r="F36" i="29"/>
  <c r="Q32" i="29"/>
  <c r="W20" i="31" s="1"/>
  <c r="Q33" i="29"/>
  <c r="W21" i="31" s="1"/>
  <c r="Q34" i="29"/>
  <c r="W22" i="31" s="1"/>
  <c r="Q35" i="29"/>
  <c r="W23" i="31" s="1"/>
  <c r="Q36" i="29"/>
  <c r="W24" i="31" s="1"/>
  <c r="D114" i="26"/>
  <c r="D115" i="26"/>
  <c r="D116" i="26"/>
  <c r="D117" i="26"/>
  <c r="D118" i="26"/>
  <c r="D119" i="26"/>
  <c r="D120" i="26"/>
  <c r="D121" i="26"/>
  <c r="D122" i="26"/>
  <c r="D123" i="26"/>
  <c r="F86" i="26"/>
  <c r="F30" i="26" s="1"/>
  <c r="F87" i="26"/>
  <c r="F31" i="26" s="1"/>
  <c r="F88" i="26"/>
  <c r="F32" i="26" s="1"/>
  <c r="F89" i="26"/>
  <c r="F90" i="26"/>
  <c r="F34" i="26" s="1"/>
  <c r="F91" i="26"/>
  <c r="F35" i="26" s="1"/>
  <c r="F92" i="26"/>
  <c r="F93" i="26"/>
  <c r="F94" i="26"/>
  <c r="F38" i="26" s="1"/>
  <c r="F95" i="26"/>
  <c r="F39" i="26" s="1"/>
  <c r="J86" i="26"/>
  <c r="J30" i="26" s="1"/>
  <c r="J87" i="26"/>
  <c r="J31" i="26" s="1"/>
  <c r="J88" i="26"/>
  <c r="J32" i="26" s="1"/>
  <c r="J89" i="26"/>
  <c r="J33" i="26" s="1"/>
  <c r="J90" i="26"/>
  <c r="J34" i="26" s="1"/>
  <c r="J91" i="26"/>
  <c r="J35" i="26" s="1"/>
  <c r="J92" i="26"/>
  <c r="J36" i="26" s="1"/>
  <c r="J93" i="26"/>
  <c r="J37" i="26" s="1"/>
  <c r="J94" i="26"/>
  <c r="J38" i="26" s="1"/>
  <c r="J95" i="26"/>
  <c r="J39" i="26" s="1"/>
  <c r="D86" i="26"/>
  <c r="D30" i="26" s="1"/>
  <c r="D87" i="26"/>
  <c r="D31" i="26" s="1"/>
  <c r="D88" i="26"/>
  <c r="D32" i="26" s="1"/>
  <c r="D89" i="26"/>
  <c r="D33" i="26" s="1"/>
  <c r="D90" i="26"/>
  <c r="D34" i="26" s="1"/>
  <c r="D91" i="26"/>
  <c r="D35" i="26" s="1"/>
  <c r="D92" i="26"/>
  <c r="D36" i="26" s="1"/>
  <c r="D93" i="26"/>
  <c r="D37" i="26" s="1"/>
  <c r="D94" i="26"/>
  <c r="D38" i="26" s="1"/>
  <c r="D95" i="26"/>
  <c r="D39" i="26" s="1"/>
  <c r="N36" i="11"/>
  <c r="O37" i="11"/>
  <c r="X14" i="14" s="1"/>
  <c r="M37" i="11"/>
  <c r="Q38" i="11"/>
  <c r="T37" i="11"/>
  <c r="S37" i="11"/>
  <c r="P36" i="11"/>
  <c r="X37" i="11"/>
  <c r="AF14" i="14" s="1"/>
  <c r="AA37" i="11"/>
  <c r="Q37" i="11"/>
  <c r="Z14" i="14" s="1"/>
  <c r="W37" i="11"/>
  <c r="Z37" i="11"/>
  <c r="AH14" i="14" s="1"/>
  <c r="N39" i="10"/>
  <c r="N30" i="11" s="1"/>
  <c r="N37" i="10"/>
  <c r="N28" i="11" s="1"/>
  <c r="N35" i="10"/>
  <c r="N26" i="11" s="1"/>
  <c r="N33" i="10"/>
  <c r="N31" i="10"/>
  <c r="Z39" i="10"/>
  <c r="Z30" i="11" s="1"/>
  <c r="Z37" i="10"/>
  <c r="Z28" i="11" s="1"/>
  <c r="Z35" i="10"/>
  <c r="Z26" i="11" s="1"/>
  <c r="Z33" i="10"/>
  <c r="Z31" i="10"/>
  <c r="C31" i="11"/>
  <c r="L24" i="14" s="1"/>
  <c r="L11" i="14"/>
  <c r="C33" i="11"/>
  <c r="R37" i="11"/>
  <c r="AA14" i="14" s="1"/>
  <c r="AB37" i="11"/>
  <c r="AC37" i="11"/>
  <c r="AK14" i="14" s="1"/>
  <c r="S38" i="11"/>
  <c r="N38" i="11"/>
  <c r="W15" i="14" s="1"/>
  <c r="AA38" i="11"/>
  <c r="M38" i="11"/>
  <c r="V15" i="14" s="1"/>
  <c r="R38" i="11"/>
  <c r="T38" i="11"/>
  <c r="AC15" i="14" s="1"/>
  <c r="I36" i="11"/>
  <c r="W38" i="11"/>
  <c r="P37" i="11"/>
  <c r="AC38" i="11"/>
  <c r="N37" i="11"/>
  <c r="G36" i="11"/>
  <c r="F36" i="11"/>
  <c r="N38" i="10"/>
  <c r="N29" i="11" s="1"/>
  <c r="N36" i="10"/>
  <c r="N27" i="11" s="1"/>
  <c r="N34" i="10"/>
  <c r="N32" i="10"/>
  <c r="N30" i="10"/>
  <c r="Z36" i="10"/>
  <c r="Z27" i="11" s="1"/>
  <c r="Z32" i="10"/>
  <c r="Z30" i="10"/>
  <c r="Z31" i="11"/>
  <c r="AH24" i="14" s="1"/>
  <c r="F31" i="11"/>
  <c r="O24" i="14" s="1"/>
  <c r="P31" i="11"/>
  <c r="Y24" i="14" s="1"/>
  <c r="X31" i="11"/>
  <c r="AF24" i="14" s="1"/>
  <c r="E31" i="11"/>
  <c r="N24" i="14" s="1"/>
  <c r="O31" i="11"/>
  <c r="X24" i="14" s="1"/>
  <c r="G78" i="10"/>
  <c r="G85" i="10"/>
  <c r="G86" i="10"/>
  <c r="G87" i="10"/>
  <c r="G88" i="10"/>
  <c r="G89" i="10"/>
  <c r="G90" i="10"/>
  <c r="G91" i="10"/>
  <c r="G92" i="10"/>
  <c r="G93" i="10"/>
  <c r="G94" i="10"/>
  <c r="I85" i="10"/>
  <c r="I86" i="10"/>
  <c r="I87" i="10"/>
  <c r="I88" i="10"/>
  <c r="I89" i="10"/>
  <c r="I90" i="10"/>
  <c r="I91" i="10"/>
  <c r="I92" i="10"/>
  <c r="I93" i="10"/>
  <c r="I94" i="10"/>
  <c r="C129" i="10"/>
  <c r="C85" i="10"/>
  <c r="C86" i="10"/>
  <c r="C87" i="10"/>
  <c r="C88" i="10"/>
  <c r="C89" i="10"/>
  <c r="C90" i="10"/>
  <c r="C91" i="10"/>
  <c r="C92" i="10"/>
  <c r="C93" i="10"/>
  <c r="C94" i="10"/>
  <c r="AA65" i="10"/>
  <c r="AA38" i="10" s="1"/>
  <c r="AA29" i="11" s="1"/>
  <c r="AA63" i="10"/>
  <c r="AA36" i="10" s="1"/>
  <c r="AA27" i="11" s="1"/>
  <c r="AA61" i="10"/>
  <c r="AA34" i="10" s="1"/>
  <c r="AA59" i="10"/>
  <c r="AA32" i="10" s="1"/>
  <c r="AA57" i="10"/>
  <c r="AA30" i="10" s="1"/>
  <c r="S65" i="10"/>
  <c r="S38" i="10" s="1"/>
  <c r="S29" i="11" s="1"/>
  <c r="S63" i="10"/>
  <c r="S36" i="10" s="1"/>
  <c r="S27" i="11" s="1"/>
  <c r="S61" i="10"/>
  <c r="S34" i="10" s="1"/>
  <c r="S59" i="10"/>
  <c r="S32" i="10" s="1"/>
  <c r="S57" i="10"/>
  <c r="S30" i="10" s="1"/>
  <c r="R65" i="10"/>
  <c r="R38" i="10" s="1"/>
  <c r="R29" i="11" s="1"/>
  <c r="R63" i="10"/>
  <c r="R36" i="10" s="1"/>
  <c r="R27" i="11" s="1"/>
  <c r="R61" i="10"/>
  <c r="R34" i="10" s="1"/>
  <c r="R59" i="10"/>
  <c r="R32" i="10" s="1"/>
  <c r="R57" i="10"/>
  <c r="R30" i="10" s="1"/>
  <c r="AC65" i="10"/>
  <c r="AC38" i="10" s="1"/>
  <c r="AC29" i="11" s="1"/>
  <c r="AC63" i="10"/>
  <c r="AC36" i="10" s="1"/>
  <c r="AC27" i="11" s="1"/>
  <c r="AC61" i="10"/>
  <c r="AC34" i="10" s="1"/>
  <c r="AC59" i="10"/>
  <c r="AC32" i="10" s="1"/>
  <c r="AC57" i="10"/>
  <c r="AC30" i="10" s="1"/>
  <c r="Q65" i="10"/>
  <c r="Q38" i="10" s="1"/>
  <c r="Q29" i="11" s="1"/>
  <c r="Q63" i="10"/>
  <c r="Q36" i="10" s="1"/>
  <c r="Q27" i="11" s="1"/>
  <c r="Q61" i="10"/>
  <c r="Q34" i="10" s="1"/>
  <c r="Q59" i="10"/>
  <c r="Q32" i="10" s="1"/>
  <c r="Q57" i="10"/>
  <c r="Q30" i="10" s="1"/>
  <c r="X65" i="10"/>
  <c r="X63" i="10"/>
  <c r="X61" i="10"/>
  <c r="X59" i="10"/>
  <c r="X57" i="10"/>
  <c r="T65" i="10"/>
  <c r="T38" i="10" s="1"/>
  <c r="T29" i="11" s="1"/>
  <c r="T63" i="10"/>
  <c r="T36" i="10" s="1"/>
  <c r="T27" i="11" s="1"/>
  <c r="T61" i="10"/>
  <c r="T34" i="10" s="1"/>
  <c r="T59" i="10"/>
  <c r="T32" i="10" s="1"/>
  <c r="T57" i="10"/>
  <c r="T30" i="10" s="1"/>
  <c r="O65" i="10"/>
  <c r="O63" i="10"/>
  <c r="O61" i="10"/>
  <c r="O59" i="10"/>
  <c r="O57" i="10"/>
  <c r="J128" i="10"/>
  <c r="J57" i="10"/>
  <c r="J58" i="10"/>
  <c r="J59" i="10"/>
  <c r="J60" i="10"/>
  <c r="J61" i="10"/>
  <c r="J62" i="10"/>
  <c r="J63" i="10"/>
  <c r="J64" i="10"/>
  <c r="J65" i="10"/>
  <c r="J66" i="10"/>
  <c r="H128" i="10"/>
  <c r="H57" i="10"/>
  <c r="H58" i="10"/>
  <c r="H59" i="10"/>
  <c r="H60" i="10"/>
  <c r="H61" i="10"/>
  <c r="H62" i="10"/>
  <c r="H63" i="10"/>
  <c r="H64" i="10"/>
  <c r="H65" i="10"/>
  <c r="H66" i="10"/>
  <c r="E128" i="10"/>
  <c r="E57" i="10"/>
  <c r="E58" i="10"/>
  <c r="E59" i="10"/>
  <c r="E60" i="10"/>
  <c r="E61" i="10"/>
  <c r="E62" i="10"/>
  <c r="E63" i="10"/>
  <c r="E64" i="10"/>
  <c r="E65" i="10"/>
  <c r="E66" i="10"/>
  <c r="D128" i="10"/>
  <c r="D57" i="10"/>
  <c r="D58" i="10"/>
  <c r="D59" i="10"/>
  <c r="D60" i="10"/>
  <c r="D61" i="10"/>
  <c r="D62" i="10"/>
  <c r="D63" i="10"/>
  <c r="D64" i="10"/>
  <c r="D65" i="10"/>
  <c r="D66" i="10"/>
  <c r="D76" i="10"/>
  <c r="D85" i="10"/>
  <c r="D86" i="10"/>
  <c r="D87" i="10"/>
  <c r="D88" i="10"/>
  <c r="D89" i="10"/>
  <c r="D90" i="10"/>
  <c r="D91" i="10"/>
  <c r="D92" i="10"/>
  <c r="D93" i="10"/>
  <c r="D94" i="10"/>
  <c r="E77" i="10"/>
  <c r="E85" i="10"/>
  <c r="E86" i="10"/>
  <c r="E87" i="10"/>
  <c r="E88" i="10"/>
  <c r="E89" i="10"/>
  <c r="E90" i="10"/>
  <c r="E91" i="10"/>
  <c r="E92" i="10"/>
  <c r="E93" i="10"/>
  <c r="E94" i="10"/>
  <c r="F78" i="10"/>
  <c r="F85" i="10"/>
  <c r="F86" i="10"/>
  <c r="F87" i="10"/>
  <c r="F88" i="10"/>
  <c r="F89" i="10"/>
  <c r="F90" i="10"/>
  <c r="F91" i="10"/>
  <c r="F92" i="10"/>
  <c r="F93" i="10"/>
  <c r="F94" i="10"/>
  <c r="J129" i="10"/>
  <c r="J85" i="10"/>
  <c r="J86" i="10"/>
  <c r="J87" i="10"/>
  <c r="J88" i="10"/>
  <c r="J89" i="10"/>
  <c r="J90" i="10"/>
  <c r="J91" i="10"/>
  <c r="J92" i="10"/>
  <c r="J93" i="10"/>
  <c r="J94" i="10"/>
  <c r="H129" i="10"/>
  <c r="H85" i="10"/>
  <c r="H86" i="10"/>
  <c r="H87" i="10"/>
  <c r="H88" i="10"/>
  <c r="H89" i="10"/>
  <c r="H90" i="10"/>
  <c r="H91" i="10"/>
  <c r="H92" i="10"/>
  <c r="H93" i="10"/>
  <c r="H94" i="10"/>
  <c r="H74" i="10"/>
  <c r="AA66" i="10"/>
  <c r="AA39" i="10" s="1"/>
  <c r="AA30" i="11" s="1"/>
  <c r="AA64" i="10"/>
  <c r="AA37" i="10" s="1"/>
  <c r="AA28" i="11" s="1"/>
  <c r="AA62" i="10"/>
  <c r="AA35" i="10" s="1"/>
  <c r="AA26" i="11" s="1"/>
  <c r="AA60" i="10"/>
  <c r="AA33" i="10" s="1"/>
  <c r="S66" i="10"/>
  <c r="S39" i="10" s="1"/>
  <c r="S30" i="11" s="1"/>
  <c r="S64" i="10"/>
  <c r="S37" i="10" s="1"/>
  <c r="S28" i="11" s="1"/>
  <c r="S62" i="10"/>
  <c r="S35" i="10" s="1"/>
  <c r="S26" i="11" s="1"/>
  <c r="S60" i="10"/>
  <c r="S33" i="10" s="1"/>
  <c r="R66" i="10"/>
  <c r="R39" i="10" s="1"/>
  <c r="R30" i="11" s="1"/>
  <c r="R64" i="10"/>
  <c r="R37" i="10" s="1"/>
  <c r="R28" i="11" s="1"/>
  <c r="R62" i="10"/>
  <c r="R35" i="10" s="1"/>
  <c r="R26" i="11" s="1"/>
  <c r="R60" i="10"/>
  <c r="R33" i="10" s="1"/>
  <c r="R58" i="10"/>
  <c r="R31" i="10" s="1"/>
  <c r="AC66" i="10"/>
  <c r="AC39" i="10" s="1"/>
  <c r="AC30" i="11" s="1"/>
  <c r="AC64" i="10"/>
  <c r="AC37" i="10" s="1"/>
  <c r="AC28" i="11" s="1"/>
  <c r="AC62" i="10"/>
  <c r="AC35" i="10" s="1"/>
  <c r="AC26" i="11" s="1"/>
  <c r="AC60" i="10"/>
  <c r="AC33" i="10" s="1"/>
  <c r="Q66" i="10"/>
  <c r="Q39" i="10" s="1"/>
  <c r="Q30" i="11" s="1"/>
  <c r="Q64" i="10"/>
  <c r="Q37" i="10" s="1"/>
  <c r="Q28" i="11" s="1"/>
  <c r="Q62" i="10"/>
  <c r="Q35" i="10" s="1"/>
  <c r="Q26" i="11" s="1"/>
  <c r="Q60" i="10"/>
  <c r="Q33" i="10" s="1"/>
  <c r="X66" i="10"/>
  <c r="X64" i="10"/>
  <c r="X62" i="10"/>
  <c r="X60" i="10"/>
  <c r="T66" i="10"/>
  <c r="T39" i="10" s="1"/>
  <c r="T30" i="11" s="1"/>
  <c r="T64" i="10"/>
  <c r="T37" i="10" s="1"/>
  <c r="T28" i="11" s="1"/>
  <c r="T62" i="10"/>
  <c r="T35" i="10" s="1"/>
  <c r="T26" i="11" s="1"/>
  <c r="T60" i="10"/>
  <c r="T33" i="10" s="1"/>
  <c r="T58" i="10"/>
  <c r="T31" i="10" s="1"/>
  <c r="O66" i="10"/>
  <c r="O64" i="10"/>
  <c r="O62" i="10"/>
  <c r="O60" i="10"/>
  <c r="C130" i="10"/>
  <c r="C113" i="10"/>
  <c r="C114" i="10"/>
  <c r="C115" i="10"/>
  <c r="C116" i="10"/>
  <c r="C117" i="10"/>
  <c r="C118" i="10"/>
  <c r="C119" i="10"/>
  <c r="C120" i="10"/>
  <c r="C121" i="10"/>
  <c r="C122" i="10"/>
  <c r="D7" i="10"/>
  <c r="X113" i="10"/>
  <c r="X114" i="10"/>
  <c r="X31" i="10" s="1"/>
  <c r="X115" i="10"/>
  <c r="X116" i="10"/>
  <c r="X117" i="10"/>
  <c r="X118" i="10"/>
  <c r="X119" i="10"/>
  <c r="X120" i="10"/>
  <c r="X121" i="10"/>
  <c r="X122" i="10"/>
  <c r="E7" i="10"/>
  <c r="E100" i="10" s="1"/>
  <c r="O113" i="10"/>
  <c r="O114" i="10"/>
  <c r="O31" i="10" s="1"/>
  <c r="O115" i="10"/>
  <c r="O116" i="10"/>
  <c r="O117" i="10"/>
  <c r="O118" i="10"/>
  <c r="O119" i="10"/>
  <c r="O120" i="10"/>
  <c r="O121" i="10"/>
  <c r="O122" i="10"/>
  <c r="G99" i="10"/>
  <c r="G113" i="10"/>
  <c r="G114" i="10"/>
  <c r="G115" i="10"/>
  <c r="G116" i="10"/>
  <c r="G117" i="10"/>
  <c r="G118" i="10"/>
  <c r="G119" i="10"/>
  <c r="G120" i="10"/>
  <c r="G121" i="10"/>
  <c r="G122" i="10"/>
  <c r="I103" i="10"/>
  <c r="I113" i="10"/>
  <c r="I114" i="10"/>
  <c r="I115" i="10"/>
  <c r="I116" i="10"/>
  <c r="I117" i="10"/>
  <c r="I118" i="10"/>
  <c r="I119" i="10"/>
  <c r="I120" i="10"/>
  <c r="I121" i="10"/>
  <c r="I122" i="10"/>
  <c r="F7" i="10"/>
  <c r="P113" i="10"/>
  <c r="P30" i="10" s="1"/>
  <c r="P114" i="10"/>
  <c r="P31" i="10" s="1"/>
  <c r="P115" i="10"/>
  <c r="P32" i="10" s="1"/>
  <c r="P116" i="10"/>
  <c r="P33" i="10" s="1"/>
  <c r="P117" i="10"/>
  <c r="P34" i="10" s="1"/>
  <c r="P118" i="10"/>
  <c r="P35" i="10" s="1"/>
  <c r="P26" i="11" s="1"/>
  <c r="P119" i="10"/>
  <c r="P36" i="10" s="1"/>
  <c r="P27" i="11" s="1"/>
  <c r="P120" i="10"/>
  <c r="P37" i="10" s="1"/>
  <c r="P28" i="11" s="1"/>
  <c r="P121" i="10"/>
  <c r="P38" i="10" s="1"/>
  <c r="P29" i="11" s="1"/>
  <c r="P122" i="10"/>
  <c r="P39" i="10" s="1"/>
  <c r="P30" i="11" s="1"/>
  <c r="J130" i="10"/>
  <c r="J113" i="10"/>
  <c r="J114" i="10"/>
  <c r="J115" i="10"/>
  <c r="J116" i="10"/>
  <c r="J117" i="10"/>
  <c r="J118" i="10"/>
  <c r="J119" i="10"/>
  <c r="J120" i="10"/>
  <c r="J121" i="10"/>
  <c r="J122" i="10"/>
  <c r="H130" i="10"/>
  <c r="H113" i="10"/>
  <c r="H114" i="10"/>
  <c r="H115" i="10"/>
  <c r="H116" i="10"/>
  <c r="H117" i="10"/>
  <c r="H118" i="10"/>
  <c r="H119" i="10"/>
  <c r="H120" i="10"/>
  <c r="H121" i="10"/>
  <c r="H122" i="10"/>
  <c r="P12" i="14"/>
  <c r="G32" i="12"/>
  <c r="G33" i="12"/>
  <c r="G34" i="12"/>
  <c r="G35" i="12"/>
  <c r="G36" i="12"/>
  <c r="M12" i="14"/>
  <c r="D32" i="12"/>
  <c r="D33" i="12"/>
  <c r="D34" i="12"/>
  <c r="D35" i="12"/>
  <c r="D36" i="12"/>
  <c r="AL12" i="14"/>
  <c r="AD32" i="12"/>
  <c r="AD33" i="12"/>
  <c r="AD34" i="12"/>
  <c r="AD35" i="12"/>
  <c r="AD36" i="12"/>
  <c r="AK12" i="14"/>
  <c r="AC32" i="12"/>
  <c r="AC21" i="11" s="1"/>
  <c r="AC33" i="12"/>
  <c r="AC22" i="11" s="1"/>
  <c r="AC34" i="12"/>
  <c r="AC35" i="12"/>
  <c r="AC24" i="11" s="1"/>
  <c r="AC36" i="12"/>
  <c r="AC25" i="11" s="1"/>
  <c r="AF12" i="14"/>
  <c r="X32" i="12"/>
  <c r="X33" i="12"/>
  <c r="X34" i="12"/>
  <c r="X35" i="12"/>
  <c r="X36" i="12"/>
  <c r="AH12" i="14"/>
  <c r="Z32" i="12"/>
  <c r="Z21" i="11" s="1"/>
  <c r="Z33" i="12"/>
  <c r="Z22" i="11" s="1"/>
  <c r="Z34" i="12"/>
  <c r="Z35" i="12"/>
  <c r="Z24" i="11" s="1"/>
  <c r="Z36" i="12"/>
  <c r="R20" i="29"/>
  <c r="R28" i="29"/>
  <c r="R21" i="29"/>
  <c r="X9" i="31" s="1"/>
  <c r="R29" i="29"/>
  <c r="R12" i="14"/>
  <c r="I32" i="12"/>
  <c r="I33" i="12"/>
  <c r="I34" i="12"/>
  <c r="I35" i="12"/>
  <c r="I36" i="12"/>
  <c r="O12" i="14"/>
  <c r="F32" i="12"/>
  <c r="F33" i="12"/>
  <c r="F34" i="12"/>
  <c r="F35" i="12"/>
  <c r="F36" i="12"/>
  <c r="AJ12" i="14"/>
  <c r="AB32" i="12"/>
  <c r="AB33" i="12"/>
  <c r="AB34" i="12"/>
  <c r="AB35" i="12"/>
  <c r="AB36" i="12"/>
  <c r="AG12" i="14"/>
  <c r="Y32" i="12"/>
  <c r="Y33" i="12"/>
  <c r="Y34" i="12"/>
  <c r="Y35" i="12"/>
  <c r="Y36" i="12"/>
  <c r="AI12" i="14"/>
  <c r="AA32" i="12"/>
  <c r="AA33" i="12"/>
  <c r="AA22" i="11" s="1"/>
  <c r="AA34" i="12"/>
  <c r="AA23" i="11" s="1"/>
  <c r="AA35" i="12"/>
  <c r="AA24" i="11" s="1"/>
  <c r="AA36" i="12"/>
  <c r="C70" i="10"/>
  <c r="O104" i="10"/>
  <c r="C84" i="10"/>
  <c r="C79" i="10"/>
  <c r="C81" i="10"/>
  <c r="C75" i="10"/>
  <c r="C77" i="10"/>
  <c r="C72" i="10"/>
  <c r="C74" i="10"/>
  <c r="C11" i="12"/>
  <c r="C12" i="12" s="1"/>
  <c r="C11" i="29"/>
  <c r="C12" i="29" s="1"/>
  <c r="L12" i="32" s="1"/>
  <c r="Q30" i="29"/>
  <c r="W18" i="31" s="1"/>
  <c r="Q25" i="29"/>
  <c r="W13" i="31" s="1"/>
  <c r="Q17" i="29"/>
  <c r="Q27" i="29"/>
  <c r="W15" i="31" s="1"/>
  <c r="Q19" i="29"/>
  <c r="W7" i="31" s="1"/>
  <c r="Q22" i="29"/>
  <c r="W10" i="31" s="1"/>
  <c r="Q20" i="29"/>
  <c r="W8" i="31" s="1"/>
  <c r="Q28" i="29"/>
  <c r="W16" i="31" s="1"/>
  <c r="Q29" i="29"/>
  <c r="W17" i="31" s="1"/>
  <c r="Q21" i="29"/>
  <c r="W9" i="31" s="1"/>
  <c r="Q31" i="29"/>
  <c r="W19" i="31" s="1"/>
  <c r="Q23" i="29"/>
  <c r="W11" i="31" s="1"/>
  <c r="Q18" i="29"/>
  <c r="W6" i="31" s="1"/>
  <c r="Q26" i="29"/>
  <c r="W14" i="31" s="1"/>
  <c r="Q24" i="29"/>
  <c r="W12" i="31" s="1"/>
  <c r="I100" i="10"/>
  <c r="J102" i="10"/>
  <c r="F98" i="10"/>
  <c r="F15" i="10" s="1"/>
  <c r="F11" i="10" s="1"/>
  <c r="P9" i="10"/>
  <c r="P10" i="10" s="1"/>
  <c r="H9" i="10"/>
  <c r="I99" i="10"/>
  <c r="J103" i="10"/>
  <c r="H101" i="10"/>
  <c r="F99" i="10"/>
  <c r="P105" i="10"/>
  <c r="E26" i="29"/>
  <c r="E18" i="29"/>
  <c r="E28" i="29"/>
  <c r="E20" i="29"/>
  <c r="E17" i="29"/>
  <c r="N22" i="32" s="1"/>
  <c r="E27" i="29"/>
  <c r="E23" i="29"/>
  <c r="R18" i="29"/>
  <c r="R22" i="29"/>
  <c r="R26" i="29"/>
  <c r="R30" i="29"/>
  <c r="R19" i="29"/>
  <c r="R23" i="29"/>
  <c r="X11" i="31" s="1"/>
  <c r="R27" i="29"/>
  <c r="D54" i="10"/>
  <c r="D55" i="10"/>
  <c r="F30" i="29"/>
  <c r="F26" i="29"/>
  <c r="F22" i="29"/>
  <c r="F18" i="29"/>
  <c r="F29" i="29"/>
  <c r="F25" i="29"/>
  <c r="F21" i="29"/>
  <c r="F17" i="29"/>
  <c r="F28" i="29"/>
  <c r="F24" i="29"/>
  <c r="F20" i="29"/>
  <c r="F31" i="29"/>
  <c r="F27" i="29"/>
  <c r="F23" i="29"/>
  <c r="F19" i="29"/>
  <c r="C100" i="10"/>
  <c r="Z19" i="10"/>
  <c r="Z21" i="10"/>
  <c r="Z25" i="10"/>
  <c r="Z29" i="10"/>
  <c r="X98" i="10"/>
  <c r="O112" i="10"/>
  <c r="F80" i="10"/>
  <c r="D29" i="29"/>
  <c r="D17" i="31" s="1"/>
  <c r="D25" i="29"/>
  <c r="D21" i="29"/>
  <c r="D9" i="31" s="1"/>
  <c r="D17" i="29"/>
  <c r="M22" i="32" s="1"/>
  <c r="D28" i="29"/>
  <c r="D16" i="31" s="1"/>
  <c r="D24" i="29"/>
  <c r="D20" i="29"/>
  <c r="D8" i="31" s="1"/>
  <c r="D30" i="29"/>
  <c r="D27" i="29"/>
  <c r="D15" i="31" s="1"/>
  <c r="D23" i="29"/>
  <c r="D19" i="29"/>
  <c r="D7" i="31" s="1"/>
  <c r="D31" i="29"/>
  <c r="D26" i="29"/>
  <c r="D22" i="29"/>
  <c r="D18" i="29"/>
  <c r="K11" i="30"/>
  <c r="U21" i="32" s="1"/>
  <c r="K10" i="30"/>
  <c r="C201" i="30"/>
  <c r="C156" i="30"/>
  <c r="C154" i="30"/>
  <c r="C152" i="30"/>
  <c r="C150" i="30"/>
  <c r="C148" i="30"/>
  <c r="C146" i="30"/>
  <c r="C144" i="30"/>
  <c r="C157" i="30"/>
  <c r="C155" i="30"/>
  <c r="C153" i="30"/>
  <c r="C151" i="30"/>
  <c r="C149" i="30"/>
  <c r="C147" i="30"/>
  <c r="C145" i="30"/>
  <c r="C143" i="30"/>
  <c r="F157" i="30"/>
  <c r="F29" i="30" s="1"/>
  <c r="F155" i="30"/>
  <c r="F27" i="30" s="1"/>
  <c r="F153" i="30"/>
  <c r="F25" i="30" s="1"/>
  <c r="F15" i="31" s="1"/>
  <c r="F151" i="30"/>
  <c r="F23" i="30" s="1"/>
  <c r="F13" i="31" s="1"/>
  <c r="F149" i="30"/>
  <c r="F21" i="30" s="1"/>
  <c r="F147" i="30"/>
  <c r="F19" i="30" s="1"/>
  <c r="F145" i="30"/>
  <c r="F143" i="30"/>
  <c r="F201" i="30"/>
  <c r="F204" i="30" s="1"/>
  <c r="F208" i="30" s="1"/>
  <c r="F156" i="30"/>
  <c r="F28" i="30" s="1"/>
  <c r="F154" i="30"/>
  <c r="F26" i="30" s="1"/>
  <c r="F152" i="30"/>
  <c r="F24" i="30" s="1"/>
  <c r="F14" i="31" s="1"/>
  <c r="F150" i="30"/>
  <c r="F22" i="30" s="1"/>
  <c r="F148" i="30"/>
  <c r="F20" i="30" s="1"/>
  <c r="F146" i="30"/>
  <c r="F18" i="30" s="1"/>
  <c r="F144" i="30"/>
  <c r="F16" i="30" s="1"/>
  <c r="F6" i="31" s="1"/>
  <c r="M54" i="31"/>
  <c r="U16" i="32" s="1"/>
  <c r="M5" i="31"/>
  <c r="R10" i="30"/>
  <c r="R11" i="30"/>
  <c r="AB21" i="32" s="1"/>
  <c r="P16" i="12"/>
  <c r="E107" i="10"/>
  <c r="C108" i="10"/>
  <c r="C107" i="10"/>
  <c r="H53" i="10"/>
  <c r="H49" i="10"/>
  <c r="H45" i="10"/>
  <c r="H56" i="10"/>
  <c r="H52" i="10"/>
  <c r="H48" i="10"/>
  <c r="H44" i="10"/>
  <c r="G106" i="10"/>
  <c r="G105" i="10"/>
  <c r="G22" i="10" s="1"/>
  <c r="J53" i="10"/>
  <c r="J45" i="10"/>
  <c r="J52" i="10"/>
  <c r="J44" i="10"/>
  <c r="E54" i="10"/>
  <c r="E50" i="10"/>
  <c r="E46" i="10"/>
  <c r="E42" i="10"/>
  <c r="E53" i="10"/>
  <c r="E49" i="10"/>
  <c r="E45" i="10"/>
  <c r="X102" i="10"/>
  <c r="X110" i="10"/>
  <c r="O108" i="10"/>
  <c r="O100" i="10"/>
  <c r="F74" i="10"/>
  <c r="F82" i="10"/>
  <c r="G76" i="10"/>
  <c r="F79" i="10"/>
  <c r="F75" i="10"/>
  <c r="L12" i="31"/>
  <c r="L9" i="31"/>
  <c r="L13" i="31"/>
  <c r="L17" i="31"/>
  <c r="F9" i="30"/>
  <c r="J15" i="30"/>
  <c r="O17" i="31"/>
  <c r="O9" i="31"/>
  <c r="O14" i="31"/>
  <c r="O15" i="31"/>
  <c r="O7" i="31"/>
  <c r="O10" i="31"/>
  <c r="O16" i="31"/>
  <c r="O19" i="31"/>
  <c r="D204" i="30"/>
  <c r="D208" i="30" s="1"/>
  <c r="Y56" i="31"/>
  <c r="T10" i="30"/>
  <c r="T11" i="30"/>
  <c r="AD21" i="32" s="1"/>
  <c r="L6" i="31"/>
  <c r="L14" i="31"/>
  <c r="L7" i="31"/>
  <c r="L15" i="31"/>
  <c r="C9" i="30"/>
  <c r="F17" i="30"/>
  <c r="F7" i="31" s="1"/>
  <c r="M15" i="30"/>
  <c r="W19" i="32" s="1"/>
  <c r="O13" i="31"/>
  <c r="O6" i="31"/>
  <c r="O11" i="31"/>
  <c r="O18" i="31"/>
  <c r="O8" i="31"/>
  <c r="O12" i="31"/>
  <c r="E104" i="10"/>
  <c r="E103" i="10"/>
  <c r="C112" i="10"/>
  <c r="C104" i="10"/>
  <c r="C111" i="10"/>
  <c r="C103" i="10"/>
  <c r="G110" i="10"/>
  <c r="G102" i="10"/>
  <c r="G109" i="10"/>
  <c r="G101" i="10"/>
  <c r="X100" i="10"/>
  <c r="X104" i="10"/>
  <c r="X108" i="10"/>
  <c r="X112" i="10"/>
  <c r="O110" i="10"/>
  <c r="O106" i="10"/>
  <c r="O102" i="10"/>
  <c r="O98" i="10"/>
  <c r="E75" i="10"/>
  <c r="E71" i="10"/>
  <c r="D82" i="10"/>
  <c r="J55" i="10"/>
  <c r="J51" i="10"/>
  <c r="J47" i="10"/>
  <c r="J43" i="10"/>
  <c r="J54" i="10"/>
  <c r="J50" i="10"/>
  <c r="J46" i="10"/>
  <c r="J42" i="10"/>
  <c r="I108" i="10"/>
  <c r="I107" i="10"/>
  <c r="J111" i="10"/>
  <c r="J110" i="10"/>
  <c r="H109" i="10"/>
  <c r="H26" i="10" s="1"/>
  <c r="H108" i="10"/>
  <c r="F107" i="10"/>
  <c r="F106" i="10"/>
  <c r="Z28" i="10"/>
  <c r="P109" i="10"/>
  <c r="P26" i="10" s="1"/>
  <c r="P101" i="10"/>
  <c r="P18" i="10" s="1"/>
  <c r="D73" i="10"/>
  <c r="D75" i="10"/>
  <c r="D84" i="10"/>
  <c r="D71" i="10"/>
  <c r="E84" i="10"/>
  <c r="E79" i="10"/>
  <c r="E24" i="10" s="1"/>
  <c r="E73" i="10"/>
  <c r="E70" i="10"/>
  <c r="E82" i="10"/>
  <c r="D81" i="10"/>
  <c r="D77" i="10"/>
  <c r="D79" i="10"/>
  <c r="D80" i="10"/>
  <c r="I129" i="10"/>
  <c r="I79" i="10"/>
  <c r="I73" i="10"/>
  <c r="I76" i="10"/>
  <c r="I75" i="10"/>
  <c r="I20" i="10" s="1"/>
  <c r="I70" i="10"/>
  <c r="I71" i="10"/>
  <c r="I82" i="10"/>
  <c r="I80" i="10"/>
  <c r="I74" i="10"/>
  <c r="I84" i="10"/>
  <c r="I83" i="10"/>
  <c r="I78" i="10"/>
  <c r="I77" i="10"/>
  <c r="I72" i="10"/>
  <c r="I81" i="10"/>
  <c r="I25" i="10"/>
  <c r="I24" i="10"/>
  <c r="G23" i="10"/>
  <c r="O9" i="10"/>
  <c r="S10" i="10"/>
  <c r="E106" i="10"/>
  <c r="E98" i="10"/>
  <c r="E105" i="10"/>
  <c r="C98" i="10"/>
  <c r="C110" i="10"/>
  <c r="C106" i="10"/>
  <c r="C102" i="10"/>
  <c r="C99" i="10"/>
  <c r="C109" i="10"/>
  <c r="C105" i="10"/>
  <c r="C101" i="10"/>
  <c r="F24" i="10"/>
  <c r="G112" i="10"/>
  <c r="G108" i="10"/>
  <c r="G104" i="10"/>
  <c r="G100" i="10"/>
  <c r="G111" i="10"/>
  <c r="G107" i="10"/>
  <c r="G103" i="10"/>
  <c r="E9" i="10"/>
  <c r="Z16" i="10"/>
  <c r="Z20" i="10"/>
  <c r="Z22" i="10"/>
  <c r="X99" i="10"/>
  <c r="X101" i="10"/>
  <c r="X103" i="10"/>
  <c r="X105" i="10"/>
  <c r="X107" i="10"/>
  <c r="X109" i="10"/>
  <c r="X111" i="10"/>
  <c r="O111" i="10"/>
  <c r="O109" i="10"/>
  <c r="O107" i="10"/>
  <c r="O105" i="10"/>
  <c r="O103" i="10"/>
  <c r="O101" i="10"/>
  <c r="O99" i="10"/>
  <c r="F83" i="10"/>
  <c r="F84" i="10"/>
  <c r="F71" i="10"/>
  <c r="F77" i="10"/>
  <c r="F129" i="10"/>
  <c r="F73" i="10"/>
  <c r="F81" i="10"/>
  <c r="F76" i="10"/>
  <c r="J108" i="26"/>
  <c r="J100" i="26"/>
  <c r="J107" i="26"/>
  <c r="J99" i="26"/>
  <c r="J106" i="26"/>
  <c r="J113" i="26"/>
  <c r="J105" i="26"/>
  <c r="J112" i="26"/>
  <c r="J104" i="26"/>
  <c r="J111" i="26"/>
  <c r="J103" i="26"/>
  <c r="J110" i="26"/>
  <c r="J102" i="26"/>
  <c r="J109" i="26"/>
  <c r="J101" i="26"/>
  <c r="D129" i="10"/>
  <c r="D70" i="10"/>
  <c r="E129" i="10"/>
  <c r="E80" i="10"/>
  <c r="E72" i="10"/>
  <c r="E78" i="10"/>
  <c r="G129" i="10"/>
  <c r="G82" i="10"/>
  <c r="G75" i="10"/>
  <c r="G71" i="10"/>
  <c r="G72" i="10"/>
  <c r="G74" i="10"/>
  <c r="G84" i="10"/>
  <c r="G73" i="10"/>
  <c r="G70" i="10"/>
  <c r="G80" i="10"/>
  <c r="G79" i="10"/>
  <c r="G81" i="10"/>
  <c r="G83" i="10"/>
  <c r="D50" i="10"/>
  <c r="D43" i="10"/>
  <c r="D51" i="10"/>
  <c r="I112" i="10"/>
  <c r="I104" i="10"/>
  <c r="I111" i="10"/>
  <c r="J107" i="10"/>
  <c r="J24" i="10" s="1"/>
  <c r="J99" i="10"/>
  <c r="J16" i="10" s="1"/>
  <c r="J106" i="10"/>
  <c r="J23" i="10" s="1"/>
  <c r="J98" i="10"/>
  <c r="H105" i="10"/>
  <c r="H22" i="10" s="1"/>
  <c r="H112" i="10"/>
  <c r="H29" i="10" s="1"/>
  <c r="H104" i="10"/>
  <c r="H21" i="10" s="1"/>
  <c r="F111" i="10"/>
  <c r="F103" i="10"/>
  <c r="F110" i="10"/>
  <c r="P111" i="10"/>
  <c r="P28" i="10" s="1"/>
  <c r="P107" i="10"/>
  <c r="P24" i="10" s="1"/>
  <c r="P103" i="10"/>
  <c r="P20" i="10" s="1"/>
  <c r="P99" i="10"/>
  <c r="P16" i="10" s="1"/>
  <c r="I9" i="10"/>
  <c r="I130" i="10"/>
  <c r="F9" i="10"/>
  <c r="F130" i="10"/>
  <c r="J133" i="10"/>
  <c r="J138" i="10" s="1"/>
  <c r="G9" i="10"/>
  <c r="G130" i="10"/>
  <c r="I110" i="10"/>
  <c r="I106" i="10"/>
  <c r="I102" i="10"/>
  <c r="I98" i="10"/>
  <c r="I109" i="10"/>
  <c r="I105" i="10"/>
  <c r="I101" i="10"/>
  <c r="J109" i="10"/>
  <c r="J26" i="10" s="1"/>
  <c r="J105" i="10"/>
  <c r="J22" i="10" s="1"/>
  <c r="J101" i="10"/>
  <c r="J18" i="10" s="1"/>
  <c r="J112" i="10"/>
  <c r="J29" i="10" s="1"/>
  <c r="J108" i="10"/>
  <c r="J104" i="10"/>
  <c r="J21" i="10" s="1"/>
  <c r="J100" i="10"/>
  <c r="J17" i="10" s="1"/>
  <c r="H111" i="10"/>
  <c r="H28" i="10" s="1"/>
  <c r="H107" i="10"/>
  <c r="H103" i="10"/>
  <c r="H20" i="10" s="1"/>
  <c r="H99" i="10"/>
  <c r="H16" i="10" s="1"/>
  <c r="H110" i="10"/>
  <c r="H106" i="10"/>
  <c r="H23" i="10" s="1"/>
  <c r="H102" i="10"/>
  <c r="H98" i="10"/>
  <c r="F109" i="10"/>
  <c r="F105" i="10"/>
  <c r="F101" i="10"/>
  <c r="F112" i="10"/>
  <c r="F108" i="10"/>
  <c r="F104" i="10"/>
  <c r="F100" i="10"/>
  <c r="F17" i="10" s="1"/>
  <c r="N27" i="10"/>
  <c r="N19" i="10"/>
  <c r="Z24" i="10"/>
  <c r="P112" i="10"/>
  <c r="P29" i="10" s="1"/>
  <c r="P110" i="10"/>
  <c r="P27" i="10" s="1"/>
  <c r="P108" i="10"/>
  <c r="P25" i="10" s="1"/>
  <c r="P106" i="10"/>
  <c r="P23" i="10" s="1"/>
  <c r="P104" i="10"/>
  <c r="P21" i="10" s="1"/>
  <c r="P102" i="10"/>
  <c r="P100" i="10"/>
  <c r="P17" i="10" s="1"/>
  <c r="P98" i="10"/>
  <c r="J9" i="10"/>
  <c r="AE14" i="14"/>
  <c r="D98" i="10"/>
  <c r="D102" i="10"/>
  <c r="D19" i="10" s="1"/>
  <c r="D106" i="10"/>
  <c r="D23" i="10" s="1"/>
  <c r="D110" i="10"/>
  <c r="D99" i="10"/>
  <c r="D103" i="10"/>
  <c r="D107" i="10"/>
  <c r="D111" i="10"/>
  <c r="D28" i="10" s="1"/>
  <c r="D9" i="10"/>
  <c r="D100" i="10"/>
  <c r="D104" i="10"/>
  <c r="D108" i="10"/>
  <c r="D112" i="10"/>
  <c r="D101" i="10"/>
  <c r="D105" i="10"/>
  <c r="D109" i="10"/>
  <c r="N10" i="10"/>
  <c r="I22" i="12"/>
  <c r="I23" i="12"/>
  <c r="I24" i="12"/>
  <c r="I25" i="12"/>
  <c r="I26" i="12"/>
  <c r="I27" i="12"/>
  <c r="I28" i="12"/>
  <c r="I29" i="12"/>
  <c r="I30" i="12"/>
  <c r="I31" i="12"/>
  <c r="AC22" i="12"/>
  <c r="AC24" i="12"/>
  <c r="AC26" i="12"/>
  <c r="AC28" i="12"/>
  <c r="AC30" i="12"/>
  <c r="AC23" i="12"/>
  <c r="AC25" i="12"/>
  <c r="AC27" i="12"/>
  <c r="AC29" i="12"/>
  <c r="AC31" i="12"/>
  <c r="AB23" i="12"/>
  <c r="AB25" i="12"/>
  <c r="AB27" i="12"/>
  <c r="AB29" i="12"/>
  <c r="AB31" i="12"/>
  <c r="AB22" i="12"/>
  <c r="AB24" i="12"/>
  <c r="AB26" i="12"/>
  <c r="AB28" i="12"/>
  <c r="AB30" i="12"/>
  <c r="AD23" i="12"/>
  <c r="AD25" i="12"/>
  <c r="AD27" i="12"/>
  <c r="AD29" i="12"/>
  <c r="AD31" i="12"/>
  <c r="AD22" i="12"/>
  <c r="AD24" i="12"/>
  <c r="AD26" i="12"/>
  <c r="AD28" i="12"/>
  <c r="AD30" i="12"/>
  <c r="X23" i="12"/>
  <c r="X25" i="12"/>
  <c r="X27" i="12"/>
  <c r="X29" i="12"/>
  <c r="X31" i="12"/>
  <c r="X22" i="12"/>
  <c r="X24" i="12"/>
  <c r="X26" i="12"/>
  <c r="X28" i="12"/>
  <c r="X30" i="12"/>
  <c r="G22" i="12"/>
  <c r="G23" i="12"/>
  <c r="G24" i="12"/>
  <c r="G25" i="12"/>
  <c r="G26" i="12"/>
  <c r="G27" i="12"/>
  <c r="G28" i="12"/>
  <c r="G29" i="12"/>
  <c r="G30" i="12"/>
  <c r="G31" i="12"/>
  <c r="AA22" i="12"/>
  <c r="AA24" i="12"/>
  <c r="AA26" i="12"/>
  <c r="AA28" i="12"/>
  <c r="AA30" i="12"/>
  <c r="AA23" i="12"/>
  <c r="AA25" i="12"/>
  <c r="AA27" i="12"/>
  <c r="AA29" i="12"/>
  <c r="AA31" i="12"/>
  <c r="Y22" i="12"/>
  <c r="Y24" i="12"/>
  <c r="Y26" i="12"/>
  <c r="Y28" i="12"/>
  <c r="Y30" i="12"/>
  <c r="Y23" i="12"/>
  <c r="Y25" i="12"/>
  <c r="Y27" i="12"/>
  <c r="Y29" i="12"/>
  <c r="Y31" i="12"/>
  <c r="D23" i="12"/>
  <c r="D25" i="12"/>
  <c r="D29" i="12"/>
  <c r="D22" i="12"/>
  <c r="D24" i="12"/>
  <c r="D26" i="12"/>
  <c r="D28" i="12"/>
  <c r="D30" i="12"/>
  <c r="D27" i="12"/>
  <c r="D31" i="12"/>
  <c r="F22" i="12"/>
  <c r="F23" i="12"/>
  <c r="F24" i="12"/>
  <c r="F25" i="12"/>
  <c r="F26" i="12"/>
  <c r="F27" i="12"/>
  <c r="F28" i="12"/>
  <c r="F29" i="12"/>
  <c r="F30" i="12"/>
  <c r="F31" i="12"/>
  <c r="C26" i="12"/>
  <c r="C30" i="12"/>
  <c r="C23" i="12"/>
  <c r="C25" i="12"/>
  <c r="C27" i="12"/>
  <c r="C29" i="12"/>
  <c r="C24" i="12"/>
  <c r="C28" i="12"/>
  <c r="C22" i="12"/>
  <c r="Z23" i="12"/>
  <c r="Z25" i="12"/>
  <c r="Z27" i="12"/>
  <c r="Z29" i="12"/>
  <c r="Z31" i="12"/>
  <c r="Z22" i="12"/>
  <c r="Z24" i="12"/>
  <c r="Z26" i="12"/>
  <c r="Z28" i="12"/>
  <c r="Z30" i="12"/>
  <c r="D42" i="10"/>
  <c r="D48" i="10"/>
  <c r="D56" i="10"/>
  <c r="D49" i="10"/>
  <c r="D44" i="10"/>
  <c r="D17" i="10" s="1"/>
  <c r="D52" i="10"/>
  <c r="D45" i="10"/>
  <c r="D53" i="10"/>
  <c r="O13" i="14"/>
  <c r="W14" i="14"/>
  <c r="N22" i="10"/>
  <c r="Z17" i="10"/>
  <c r="Z23" i="10"/>
  <c r="Z27" i="10"/>
  <c r="N26" i="10"/>
  <c r="AB17" i="12"/>
  <c r="AB19" i="12"/>
  <c r="AB21" i="12"/>
  <c r="AB18" i="12"/>
  <c r="AB20" i="12"/>
  <c r="AD17" i="12"/>
  <c r="AD19" i="12"/>
  <c r="AD21" i="12"/>
  <c r="AD18" i="12"/>
  <c r="AD20" i="12"/>
  <c r="AA18" i="12"/>
  <c r="AA20" i="12"/>
  <c r="AA17" i="12"/>
  <c r="AA19" i="12"/>
  <c r="AA21" i="12"/>
  <c r="Y18" i="12"/>
  <c r="Y20" i="12"/>
  <c r="Y17" i="12"/>
  <c r="Y19" i="12"/>
  <c r="Y21" i="12"/>
  <c r="Z17" i="12"/>
  <c r="Z19" i="12"/>
  <c r="Z21" i="12"/>
  <c r="Z18" i="12"/>
  <c r="Z20" i="12"/>
  <c r="AC18" i="12"/>
  <c r="AC20" i="12"/>
  <c r="AC17" i="12"/>
  <c r="AC19" i="12"/>
  <c r="AC21" i="12"/>
  <c r="X17" i="12"/>
  <c r="X19" i="12"/>
  <c r="X21" i="12"/>
  <c r="X18" i="12"/>
  <c r="X20" i="12"/>
  <c r="D18" i="12"/>
  <c r="D20" i="12"/>
  <c r="D17" i="12"/>
  <c r="D19" i="12"/>
  <c r="D21" i="12"/>
  <c r="I17" i="12"/>
  <c r="I18" i="12"/>
  <c r="I19" i="12"/>
  <c r="I20" i="12"/>
  <c r="I21" i="12"/>
  <c r="G17" i="12"/>
  <c r="G18" i="12"/>
  <c r="G19" i="12"/>
  <c r="G20" i="12"/>
  <c r="G21" i="12"/>
  <c r="F17" i="12"/>
  <c r="F18" i="12"/>
  <c r="F19" i="12"/>
  <c r="F20" i="12"/>
  <c r="F21" i="12"/>
  <c r="C19" i="12"/>
  <c r="C21" i="12"/>
  <c r="C18" i="12"/>
  <c r="C20" i="12"/>
  <c r="Y14" i="14"/>
  <c r="AI14" i="14"/>
  <c r="N23" i="10"/>
  <c r="W10" i="12"/>
  <c r="W11" i="12" s="1"/>
  <c r="W12" i="12" s="1"/>
  <c r="M11" i="12"/>
  <c r="M12" i="12" s="1"/>
  <c r="AE15" i="14"/>
  <c r="AL14" i="14"/>
  <c r="Z16" i="12"/>
  <c r="AL15" i="14"/>
  <c r="AI15" i="14"/>
  <c r="AK15" i="14"/>
  <c r="AH15" i="14"/>
  <c r="AJ15" i="14"/>
  <c r="N11" i="14"/>
  <c r="E33" i="11"/>
  <c r="R11" i="14"/>
  <c r="I33" i="11"/>
  <c r="AB16" i="12"/>
  <c r="J33" i="11"/>
  <c r="S11" i="14"/>
  <c r="P11" i="14"/>
  <c r="G33" i="11"/>
  <c r="H33" i="11"/>
  <c r="Q11" i="14"/>
  <c r="F33" i="11"/>
  <c r="O11" i="14"/>
  <c r="D110" i="26"/>
  <c r="D102" i="26"/>
  <c r="D108" i="26"/>
  <c r="D100" i="26"/>
  <c r="D105" i="26"/>
  <c r="D103" i="26"/>
  <c r="D99" i="26"/>
  <c r="D113" i="26"/>
  <c r="D106" i="26"/>
  <c r="D112" i="26"/>
  <c r="D104" i="26"/>
  <c r="D101" i="26"/>
  <c r="D109" i="26"/>
  <c r="D107" i="26"/>
  <c r="D111" i="26"/>
  <c r="F111" i="26"/>
  <c r="F103" i="26"/>
  <c r="F110" i="26"/>
  <c r="F102" i="26"/>
  <c r="F113" i="26"/>
  <c r="F109" i="26"/>
  <c r="F105" i="26"/>
  <c r="F101" i="26"/>
  <c r="F112" i="26"/>
  <c r="F108" i="26"/>
  <c r="F104" i="26"/>
  <c r="F100" i="26"/>
  <c r="F107" i="26"/>
  <c r="F99" i="26"/>
  <c r="F106" i="26"/>
  <c r="D33" i="11"/>
  <c r="M11" i="14"/>
  <c r="N18" i="10"/>
  <c r="AJ14" i="14"/>
  <c r="AB15" i="14"/>
  <c r="Z15" i="14"/>
  <c r="AA15" i="14"/>
  <c r="AG15" i="14"/>
  <c r="V14" i="14"/>
  <c r="AC14" i="14"/>
  <c r="AB14" i="14"/>
  <c r="X9" i="10"/>
  <c r="X55" i="10"/>
  <c r="X53" i="10"/>
  <c r="X51" i="10"/>
  <c r="X49" i="10"/>
  <c r="X47" i="10"/>
  <c r="X45" i="10"/>
  <c r="X43" i="10"/>
  <c r="X56" i="10"/>
  <c r="X54" i="10"/>
  <c r="X27" i="10" s="1"/>
  <c r="X52" i="10"/>
  <c r="X25" i="10" s="1"/>
  <c r="X50" i="10"/>
  <c r="X23" i="10" s="1"/>
  <c r="X48" i="10"/>
  <c r="X46" i="10"/>
  <c r="X44" i="10"/>
  <c r="X17" i="10" s="1"/>
  <c r="X42" i="10"/>
  <c r="S15" i="10"/>
  <c r="S11" i="10" s="1"/>
  <c r="AB20" i="14" s="1"/>
  <c r="Q15" i="10"/>
  <c r="Q11" i="10" s="1"/>
  <c r="Z20" i="14" s="1"/>
  <c r="R43" i="10"/>
  <c r="R16" i="10" s="1"/>
  <c r="R45" i="10"/>
  <c r="R18" i="10" s="1"/>
  <c r="R47" i="10"/>
  <c r="R20" i="10" s="1"/>
  <c r="R49" i="10"/>
  <c r="R22" i="10" s="1"/>
  <c r="R51" i="10"/>
  <c r="R24" i="10" s="1"/>
  <c r="R53" i="10"/>
  <c r="R26" i="10" s="1"/>
  <c r="R55" i="10"/>
  <c r="R28" i="10" s="1"/>
  <c r="R42" i="10"/>
  <c r="T42" i="10"/>
  <c r="T45" i="10"/>
  <c r="T18" i="10" s="1"/>
  <c r="T49" i="10"/>
  <c r="T22" i="10" s="1"/>
  <c r="T53" i="10"/>
  <c r="T26" i="10" s="1"/>
  <c r="T44" i="10"/>
  <c r="T17" i="10" s="1"/>
  <c r="T48" i="10"/>
  <c r="T21" i="10" s="1"/>
  <c r="T52" i="10"/>
  <c r="T25" i="10" s="1"/>
  <c r="T56" i="10"/>
  <c r="T29" i="10" s="1"/>
  <c r="O43" i="10"/>
  <c r="O47" i="10"/>
  <c r="O51" i="10"/>
  <c r="O55" i="10"/>
  <c r="O46" i="10"/>
  <c r="O19" i="10" s="1"/>
  <c r="O50" i="10"/>
  <c r="O23" i="10" s="1"/>
  <c r="O54" i="10"/>
  <c r="O27" i="10" s="1"/>
  <c r="N28" i="10"/>
  <c r="N20" i="10"/>
  <c r="N29" i="10"/>
  <c r="N21" i="10"/>
  <c r="S19" i="10"/>
  <c r="S23" i="10"/>
  <c r="S27" i="10"/>
  <c r="S18" i="10"/>
  <c r="S22" i="10"/>
  <c r="S26" i="10"/>
  <c r="Q18" i="10"/>
  <c r="Q22" i="10"/>
  <c r="Q26" i="10"/>
  <c r="Q17" i="10"/>
  <c r="Q21" i="10"/>
  <c r="Q25" i="10"/>
  <c r="Q29" i="10"/>
  <c r="AC9" i="10"/>
  <c r="AC42" i="10"/>
  <c r="AC55" i="10"/>
  <c r="AC28" i="10" s="1"/>
  <c r="AC53" i="10"/>
  <c r="AC26" i="10" s="1"/>
  <c r="AC51" i="10"/>
  <c r="AC24" i="10" s="1"/>
  <c r="AC49" i="10"/>
  <c r="AC22" i="10" s="1"/>
  <c r="AC47" i="10"/>
  <c r="AC20" i="10" s="1"/>
  <c r="AC45" i="10"/>
  <c r="AC18" i="10" s="1"/>
  <c r="AC43" i="10"/>
  <c r="AC16" i="10" s="1"/>
  <c r="AC56" i="10"/>
  <c r="AC29" i="10" s="1"/>
  <c r="AC54" i="10"/>
  <c r="AC27" i="10" s="1"/>
  <c r="AC52" i="10"/>
  <c r="AC25" i="10" s="1"/>
  <c r="AC50" i="10"/>
  <c r="AC23" i="10" s="1"/>
  <c r="AC48" i="10"/>
  <c r="AC21" i="10" s="1"/>
  <c r="AC46" i="10"/>
  <c r="AC19" i="10" s="1"/>
  <c r="AC44" i="10"/>
  <c r="AC17" i="10" s="1"/>
  <c r="AA9" i="10"/>
  <c r="AA42" i="10"/>
  <c r="AA55" i="10"/>
  <c r="AA28" i="10" s="1"/>
  <c r="AA53" i="10"/>
  <c r="AA26" i="10" s="1"/>
  <c r="AA51" i="10"/>
  <c r="AA24" i="10" s="1"/>
  <c r="AA49" i="10"/>
  <c r="AA22" i="10" s="1"/>
  <c r="AA47" i="10"/>
  <c r="AA20" i="10" s="1"/>
  <c r="AA45" i="10"/>
  <c r="AA18" i="10" s="1"/>
  <c r="AA43" i="10"/>
  <c r="AA16" i="10" s="1"/>
  <c r="AA56" i="10"/>
  <c r="AA29" i="10" s="1"/>
  <c r="AA54" i="10"/>
  <c r="AA27" i="10" s="1"/>
  <c r="AA52" i="10"/>
  <c r="AA25" i="10" s="1"/>
  <c r="AA50" i="10"/>
  <c r="AA23" i="10" s="1"/>
  <c r="AA48" i="10"/>
  <c r="AA21" i="10" s="1"/>
  <c r="AA46" i="10"/>
  <c r="AA19" i="10" s="1"/>
  <c r="AA44" i="10"/>
  <c r="AA17" i="10" s="1"/>
  <c r="W13" i="14"/>
  <c r="N15" i="10"/>
  <c r="N11" i="10" s="1"/>
  <c r="W20" i="14" s="1"/>
  <c r="AH13" i="14"/>
  <c r="Z15" i="10"/>
  <c r="Y13" i="14"/>
  <c r="R44" i="10"/>
  <c r="R17" i="10" s="1"/>
  <c r="R46" i="10"/>
  <c r="R19" i="10" s="1"/>
  <c r="R48" i="10"/>
  <c r="R21" i="10" s="1"/>
  <c r="R50" i="10"/>
  <c r="R23" i="10" s="1"/>
  <c r="R52" i="10"/>
  <c r="R25" i="10" s="1"/>
  <c r="R54" i="10"/>
  <c r="R27" i="10" s="1"/>
  <c r="R56" i="10"/>
  <c r="R29" i="10" s="1"/>
  <c r="T43" i="10"/>
  <c r="T16" i="10" s="1"/>
  <c r="T47" i="10"/>
  <c r="T20" i="10" s="1"/>
  <c r="T51" i="10"/>
  <c r="T24" i="10" s="1"/>
  <c r="T55" i="10"/>
  <c r="T28" i="10" s="1"/>
  <c r="T46" i="10"/>
  <c r="T19" i="10" s="1"/>
  <c r="T50" i="10"/>
  <c r="T23" i="10" s="1"/>
  <c r="T54" i="10"/>
  <c r="T27" i="10" s="1"/>
  <c r="O42" i="10"/>
  <c r="O45" i="10"/>
  <c r="O49" i="10"/>
  <c r="O53" i="10"/>
  <c r="O44" i="10"/>
  <c r="O17" i="10" s="1"/>
  <c r="O48" i="10"/>
  <c r="O21" i="10" s="1"/>
  <c r="O52" i="10"/>
  <c r="O56" i="10"/>
  <c r="N24" i="10"/>
  <c r="N16" i="10"/>
  <c r="N25" i="10"/>
  <c r="N17" i="10"/>
  <c r="S17" i="10"/>
  <c r="S21" i="10"/>
  <c r="S25" i="10"/>
  <c r="S29" i="10"/>
  <c r="S16" i="10"/>
  <c r="S20" i="10"/>
  <c r="S24" i="10"/>
  <c r="S28" i="10"/>
  <c r="Q16" i="10"/>
  <c r="Q20" i="10"/>
  <c r="Q24" i="10"/>
  <c r="Q28" i="10"/>
  <c r="Q19" i="10"/>
  <c r="Q23" i="10"/>
  <c r="Q27" i="10"/>
  <c r="P19" i="10"/>
  <c r="P22" i="10"/>
  <c r="W16" i="12"/>
  <c r="AC16" i="12"/>
  <c r="AK19" i="14" s="1"/>
  <c r="H18" i="10"/>
  <c r="H17" i="10"/>
  <c r="X16" i="12"/>
  <c r="AF19" i="14" s="1"/>
  <c r="H27" i="10"/>
  <c r="R13" i="14"/>
  <c r="P13" i="14"/>
  <c r="J28" i="10"/>
  <c r="J27" i="10"/>
  <c r="J19" i="10"/>
  <c r="J25" i="10"/>
  <c r="Y16" i="12"/>
  <c r="AG19" i="14" s="1"/>
  <c r="AD4" i="10"/>
  <c r="T10" i="10"/>
  <c r="AB4" i="10"/>
  <c r="R10" i="10"/>
  <c r="Y4" i="10"/>
  <c r="O10" i="10"/>
  <c r="J12" i="12"/>
  <c r="E12" i="12"/>
  <c r="H12" i="12"/>
  <c r="B12" i="6"/>
  <c r="B40" i="6"/>
  <c r="B21" i="6"/>
  <c r="B28" i="6"/>
  <c r="N7" i="14"/>
  <c r="N26" i="14" s="1"/>
  <c r="Q7" i="14"/>
  <c r="Q26" i="14" s="1"/>
  <c r="R7" i="14"/>
  <c r="R26" i="14" s="1"/>
  <c r="B1" i="6"/>
  <c r="D37" i="11" l="1"/>
  <c r="F25" i="35"/>
  <c r="F21" i="35"/>
  <c r="F29" i="35"/>
  <c r="F37" i="35"/>
  <c r="F20" i="35"/>
  <c r="F36" i="35"/>
  <c r="AJ19" i="14"/>
  <c r="E22" i="10"/>
  <c r="H25" i="10"/>
  <c r="E20" i="10"/>
  <c r="F11" i="31"/>
  <c r="F19" i="31"/>
  <c r="H133" i="10"/>
  <c r="H138" i="10" s="1"/>
  <c r="F23" i="10"/>
  <c r="E23" i="10"/>
  <c r="M19" i="32"/>
  <c r="X52" i="31"/>
  <c r="L10" i="31"/>
  <c r="E21" i="10"/>
  <c r="L19" i="31"/>
  <c r="L11" i="31"/>
  <c r="L18" i="31"/>
  <c r="D6" i="31"/>
  <c r="D14" i="31"/>
  <c r="X8" i="31"/>
  <c r="X22" i="31"/>
  <c r="O29" i="10"/>
  <c r="O24" i="10"/>
  <c r="O16" i="10"/>
  <c r="X18" i="10"/>
  <c r="X9" i="11" s="1"/>
  <c r="X22" i="10"/>
  <c r="X26" i="10"/>
  <c r="X17" i="11" s="1"/>
  <c r="D21" i="10"/>
  <c r="D20" i="10"/>
  <c r="H24" i="10"/>
  <c r="I23" i="10"/>
  <c r="F27" i="10"/>
  <c r="E101" i="10"/>
  <c r="E109" i="10"/>
  <c r="E26" i="10" s="1"/>
  <c r="E102" i="10"/>
  <c r="E19" i="10" s="1"/>
  <c r="E110" i="10"/>
  <c r="E111" i="10"/>
  <c r="E28" i="10" s="1"/>
  <c r="E112" i="10"/>
  <c r="E108" i="10"/>
  <c r="E25" i="10" s="1"/>
  <c r="F10" i="31"/>
  <c r="F18" i="31"/>
  <c r="F9" i="31"/>
  <c r="F17" i="31"/>
  <c r="D10" i="31"/>
  <c r="D19" i="31"/>
  <c r="D11" i="31"/>
  <c r="D18" i="31"/>
  <c r="D12" i="31"/>
  <c r="D13" i="31"/>
  <c r="X15" i="31"/>
  <c r="AA25" i="11"/>
  <c r="AA21" i="11"/>
  <c r="Z25" i="11"/>
  <c r="Z23" i="11"/>
  <c r="AC23" i="11"/>
  <c r="F36" i="26"/>
  <c r="N21" i="31"/>
  <c r="D24" i="31"/>
  <c r="D22" i="31"/>
  <c r="D20" i="31"/>
  <c r="F26" i="35"/>
  <c r="F35" i="35"/>
  <c r="F18" i="35"/>
  <c r="F34" i="35"/>
  <c r="F23" i="35"/>
  <c r="F22" i="35"/>
  <c r="F15" i="35"/>
  <c r="S28" i="30"/>
  <c r="S22" i="30"/>
  <c r="X12" i="31" s="1"/>
  <c r="N10" i="31"/>
  <c r="L23" i="30"/>
  <c r="N13" i="31" s="1"/>
  <c r="L16" i="30"/>
  <c r="N6" i="31" s="1"/>
  <c r="L52" i="30"/>
  <c r="N42" i="31" s="1"/>
  <c r="L48" i="30"/>
  <c r="N38" i="31" s="1"/>
  <c r="U15" i="32" s="1"/>
  <c r="L44" i="30"/>
  <c r="N34" i="31" s="1"/>
  <c r="L40" i="30"/>
  <c r="N30" i="31" s="1"/>
  <c r="L36" i="30"/>
  <c r="N26" i="31" s="1"/>
  <c r="L32" i="30"/>
  <c r="N22" i="31" s="1"/>
  <c r="L29" i="30"/>
  <c r="N19" i="31" s="1"/>
  <c r="N18" i="31"/>
  <c r="L24" i="30"/>
  <c r="N14" i="31" s="1"/>
  <c r="L53" i="30"/>
  <c r="N43" i="31" s="1"/>
  <c r="L49" i="30"/>
  <c r="N39" i="31" s="1"/>
  <c r="L45" i="30"/>
  <c r="N35" i="31" s="1"/>
  <c r="L41" i="30"/>
  <c r="N31" i="31" s="1"/>
  <c r="L37" i="30"/>
  <c r="N27" i="31" s="1"/>
  <c r="L33" i="30"/>
  <c r="N23" i="31" s="1"/>
  <c r="X17" i="31"/>
  <c r="Y55" i="31"/>
  <c r="AC17" i="32" s="1"/>
  <c r="C118" i="30"/>
  <c r="C122" i="30"/>
  <c r="C126" i="30"/>
  <c r="C130" i="30"/>
  <c r="C134" i="30"/>
  <c r="C138" i="30"/>
  <c r="C53" i="30" s="1"/>
  <c r="C43" i="31" s="1"/>
  <c r="C117" i="30"/>
  <c r="C121" i="30"/>
  <c r="C36" i="30" s="1"/>
  <c r="C26" i="31" s="1"/>
  <c r="C125" i="30"/>
  <c r="C129" i="30"/>
  <c r="C44" i="30" s="1"/>
  <c r="C34" i="31" s="1"/>
  <c r="C133" i="30"/>
  <c r="C137" i="30"/>
  <c r="C200" i="30"/>
  <c r="C204" i="30" s="1"/>
  <c r="C208" i="30" s="1"/>
  <c r="C111" i="30"/>
  <c r="C26" i="30" s="1"/>
  <c r="C107" i="30"/>
  <c r="C22" i="30" s="1"/>
  <c r="C103" i="30"/>
  <c r="C18" i="30" s="1"/>
  <c r="C114" i="30"/>
  <c r="C29" i="30" s="1"/>
  <c r="C110" i="30"/>
  <c r="C25" i="30" s="1"/>
  <c r="C106" i="30"/>
  <c r="C21" i="30" s="1"/>
  <c r="C102" i="30"/>
  <c r="C17" i="30" s="1"/>
  <c r="C116" i="30"/>
  <c r="C31" i="30" s="1"/>
  <c r="C120" i="30"/>
  <c r="C35" i="30" s="1"/>
  <c r="C25" i="31" s="1"/>
  <c r="C124" i="30"/>
  <c r="C39" i="30" s="1"/>
  <c r="C29" i="31" s="1"/>
  <c r="C128" i="30"/>
  <c r="C43" i="30" s="1"/>
  <c r="C33" i="31" s="1"/>
  <c r="C132" i="30"/>
  <c r="C47" i="30" s="1"/>
  <c r="C37" i="31" s="1"/>
  <c r="L14" i="32" s="1"/>
  <c r="C136" i="30"/>
  <c r="C115" i="30"/>
  <c r="C30" i="30" s="1"/>
  <c r="C119" i="30"/>
  <c r="C34" i="30" s="1"/>
  <c r="C123" i="30"/>
  <c r="C38" i="30" s="1"/>
  <c r="C28" i="31" s="1"/>
  <c r="C127" i="30"/>
  <c r="C42" i="30" s="1"/>
  <c r="C32" i="31" s="1"/>
  <c r="C131" i="30"/>
  <c r="C46" i="30" s="1"/>
  <c r="C36" i="31" s="1"/>
  <c r="L13" i="32" s="1"/>
  <c r="C135" i="30"/>
  <c r="C50" i="30" s="1"/>
  <c r="C40" i="31" s="1"/>
  <c r="C139" i="30"/>
  <c r="C54" i="30" s="1"/>
  <c r="C44" i="31" s="1"/>
  <c r="C113" i="30"/>
  <c r="C109" i="30"/>
  <c r="C105" i="30"/>
  <c r="C101" i="30"/>
  <c r="C112" i="30"/>
  <c r="C108" i="30"/>
  <c r="C104" i="30"/>
  <c r="C100" i="30"/>
  <c r="V52" i="31"/>
  <c r="Q15" i="30"/>
  <c r="AH19" i="14"/>
  <c r="T19" i="32"/>
  <c r="X18" i="31"/>
  <c r="X10" i="31"/>
  <c r="X16" i="31"/>
  <c r="X23" i="31"/>
  <c r="X21" i="31"/>
  <c r="L24" i="31"/>
  <c r="L22" i="31"/>
  <c r="L20" i="31"/>
  <c r="C51" i="30"/>
  <c r="C41" i="31" s="1"/>
  <c r="C49" i="30"/>
  <c r="C39" i="31" s="1"/>
  <c r="C45" i="30"/>
  <c r="C35" i="31" s="1"/>
  <c r="C41" i="30"/>
  <c r="C31" i="31" s="1"/>
  <c r="C37" i="30"/>
  <c r="C27" i="31" s="1"/>
  <c r="C33" i="30"/>
  <c r="C52" i="30"/>
  <c r="C42" i="31" s="1"/>
  <c r="L52" i="31"/>
  <c r="S29" i="30"/>
  <c r="X19" i="31" s="1"/>
  <c r="Q18" i="30"/>
  <c r="V8" i="31" s="1"/>
  <c r="Q21" i="30"/>
  <c r="V11" i="31" s="1"/>
  <c r="Q16" i="30"/>
  <c r="V6" i="31" s="1"/>
  <c r="Q17" i="30"/>
  <c r="V7" i="31" s="1"/>
  <c r="Q51" i="30"/>
  <c r="V41" i="31" s="1"/>
  <c r="Q47" i="30"/>
  <c r="V37" i="31" s="1"/>
  <c r="Q43" i="30"/>
  <c r="V33" i="31" s="1"/>
  <c r="Q39" i="30"/>
  <c r="V29" i="31" s="1"/>
  <c r="Q35" i="30"/>
  <c r="V25" i="31" s="1"/>
  <c r="Q31" i="30"/>
  <c r="V21" i="31" s="1"/>
  <c r="Q22" i="30"/>
  <c r="V12" i="31" s="1"/>
  <c r="Q20" i="30"/>
  <c r="V10" i="31" s="1"/>
  <c r="Q27" i="30"/>
  <c r="V17" i="31" s="1"/>
  <c r="Q52" i="30"/>
  <c r="V42" i="31" s="1"/>
  <c r="Q48" i="30"/>
  <c r="V38" i="31" s="1"/>
  <c r="Q44" i="30"/>
  <c r="V34" i="31" s="1"/>
  <c r="Q40" i="30"/>
  <c r="V30" i="31" s="1"/>
  <c r="Q36" i="30"/>
  <c r="V26" i="31" s="1"/>
  <c r="Q32" i="30"/>
  <c r="X53" i="31"/>
  <c r="S15" i="30"/>
  <c r="N52" i="31"/>
  <c r="L15" i="30"/>
  <c r="E180" i="30"/>
  <c r="E52" i="30" s="1"/>
  <c r="E42" i="31" s="1"/>
  <c r="E182" i="30"/>
  <c r="E54" i="30" s="1"/>
  <c r="E44" i="31" s="1"/>
  <c r="E159" i="30"/>
  <c r="E31" i="30" s="1"/>
  <c r="E21" i="31" s="1"/>
  <c r="E161" i="30"/>
  <c r="E33" i="30" s="1"/>
  <c r="E23" i="31" s="1"/>
  <c r="E163" i="30"/>
  <c r="E165" i="30"/>
  <c r="E37" i="30" s="1"/>
  <c r="E27" i="31" s="1"/>
  <c r="E167" i="30"/>
  <c r="E39" i="30" s="1"/>
  <c r="E29" i="31" s="1"/>
  <c r="E169" i="30"/>
  <c r="E41" i="30" s="1"/>
  <c r="E31" i="31" s="1"/>
  <c r="E171" i="30"/>
  <c r="E173" i="30"/>
  <c r="E45" i="30" s="1"/>
  <c r="E35" i="31" s="1"/>
  <c r="E175" i="30"/>
  <c r="E47" i="30" s="1"/>
  <c r="E37" i="31" s="1"/>
  <c r="N14" i="32" s="1"/>
  <c r="E177" i="30"/>
  <c r="E49" i="30" s="1"/>
  <c r="E39" i="31" s="1"/>
  <c r="E179" i="30"/>
  <c r="E155" i="30"/>
  <c r="E27" i="30" s="1"/>
  <c r="E17" i="31" s="1"/>
  <c r="E151" i="30"/>
  <c r="E23" i="30" s="1"/>
  <c r="E13" i="31" s="1"/>
  <c r="E147" i="30"/>
  <c r="E19" i="30" s="1"/>
  <c r="E9" i="31" s="1"/>
  <c r="E143" i="30"/>
  <c r="E156" i="30"/>
  <c r="E28" i="30" s="1"/>
  <c r="E18" i="31" s="1"/>
  <c r="E152" i="30"/>
  <c r="E24" i="30" s="1"/>
  <c r="E14" i="31" s="1"/>
  <c r="E148" i="30"/>
  <c r="E20" i="30" s="1"/>
  <c r="E10" i="31" s="1"/>
  <c r="E144" i="30"/>
  <c r="E16" i="30" s="1"/>
  <c r="E181" i="30"/>
  <c r="E53" i="30" s="1"/>
  <c r="E43" i="31" s="1"/>
  <c r="E158" i="30"/>
  <c r="E30" i="30" s="1"/>
  <c r="E20" i="31" s="1"/>
  <c r="E160" i="30"/>
  <c r="E32" i="30" s="1"/>
  <c r="E22" i="31" s="1"/>
  <c r="E162" i="30"/>
  <c r="E164" i="30"/>
  <c r="E36" i="30" s="1"/>
  <c r="E26" i="31" s="1"/>
  <c r="E166" i="30"/>
  <c r="E38" i="30" s="1"/>
  <c r="E28" i="31" s="1"/>
  <c r="E168" i="30"/>
  <c r="E40" i="30" s="1"/>
  <c r="E30" i="31" s="1"/>
  <c r="E170" i="30"/>
  <c r="E172" i="30"/>
  <c r="E44" i="30" s="1"/>
  <c r="E34" i="31" s="1"/>
  <c r="E174" i="30"/>
  <c r="E46" i="30" s="1"/>
  <c r="E36" i="31" s="1"/>
  <c r="N13" i="32" s="1"/>
  <c r="E176" i="30"/>
  <c r="E48" i="30" s="1"/>
  <c r="E38" i="31" s="1"/>
  <c r="N15" i="32" s="1"/>
  <c r="E178" i="30"/>
  <c r="E50" i="30" s="1"/>
  <c r="E40" i="31" s="1"/>
  <c r="E157" i="30"/>
  <c r="E29" i="30" s="1"/>
  <c r="E19" i="31" s="1"/>
  <c r="E153" i="30"/>
  <c r="E25" i="30" s="1"/>
  <c r="E149" i="30"/>
  <c r="E21" i="30" s="1"/>
  <c r="E11" i="31" s="1"/>
  <c r="E145" i="30"/>
  <c r="E17" i="30" s="1"/>
  <c r="E7" i="31" s="1"/>
  <c r="E201" i="30"/>
  <c r="E204" i="30" s="1"/>
  <c r="E208" i="30" s="1"/>
  <c r="E154" i="30"/>
  <c r="E26" i="30" s="1"/>
  <c r="E16" i="31" s="1"/>
  <c r="E150" i="30"/>
  <c r="E22" i="30" s="1"/>
  <c r="E12" i="31" s="1"/>
  <c r="E146" i="30"/>
  <c r="E18" i="30" s="1"/>
  <c r="E8" i="31" s="1"/>
  <c r="E9" i="30"/>
  <c r="C19" i="30"/>
  <c r="C23" i="30"/>
  <c r="C27" i="30"/>
  <c r="C16" i="30"/>
  <c r="C20" i="30"/>
  <c r="C24" i="30"/>
  <c r="C28" i="30"/>
  <c r="X6" i="31"/>
  <c r="E15" i="31"/>
  <c r="E6" i="31"/>
  <c r="V22" i="31"/>
  <c r="E42" i="30"/>
  <c r="E32" i="31" s="1"/>
  <c r="E34" i="30"/>
  <c r="E24" i="31" s="1"/>
  <c r="E51" i="30"/>
  <c r="E41" i="31" s="1"/>
  <c r="E43" i="30"/>
  <c r="E33" i="31" s="1"/>
  <c r="E35" i="30"/>
  <c r="E25" i="31" s="1"/>
  <c r="C48" i="30"/>
  <c r="C38" i="31" s="1"/>
  <c r="L15" i="32" s="1"/>
  <c r="C40" i="30"/>
  <c r="C30" i="31" s="1"/>
  <c r="C32" i="30"/>
  <c r="V53" i="31"/>
  <c r="S24" i="30"/>
  <c r="X14" i="31" s="1"/>
  <c r="S17" i="30"/>
  <c r="X7" i="31" s="1"/>
  <c r="N53" i="31"/>
  <c r="Q26" i="30"/>
  <c r="V16" i="31" s="1"/>
  <c r="Q23" i="30"/>
  <c r="V13" i="31" s="1"/>
  <c r="Q24" i="30"/>
  <c r="V14" i="31" s="1"/>
  <c r="Q19" i="30"/>
  <c r="V9" i="31" s="1"/>
  <c r="Q53" i="30"/>
  <c r="V43" i="31" s="1"/>
  <c r="Q49" i="30"/>
  <c r="V39" i="31" s="1"/>
  <c r="Q45" i="30"/>
  <c r="V35" i="31" s="1"/>
  <c r="Q41" i="30"/>
  <c r="V31" i="31" s="1"/>
  <c r="Q37" i="30"/>
  <c r="V27" i="31" s="1"/>
  <c r="Q33" i="30"/>
  <c r="V23" i="31" s="1"/>
  <c r="Q29" i="30"/>
  <c r="V19" i="31" s="1"/>
  <c r="Q28" i="30"/>
  <c r="V18" i="31" s="1"/>
  <c r="Q25" i="30"/>
  <c r="V15" i="31" s="1"/>
  <c r="Q54" i="30"/>
  <c r="V44" i="31" s="1"/>
  <c r="Q50" i="30"/>
  <c r="V40" i="31" s="1"/>
  <c r="Q46" i="30"/>
  <c r="V36" i="31" s="1"/>
  <c r="Q42" i="30"/>
  <c r="V32" i="31" s="1"/>
  <c r="Q38" i="30"/>
  <c r="V28" i="31" s="1"/>
  <c r="Q34" i="30"/>
  <c r="V24" i="31" s="1"/>
  <c r="Q30" i="30"/>
  <c r="V20" i="31" s="1"/>
  <c r="D53" i="31"/>
  <c r="C47" i="32"/>
  <c r="C48" i="32"/>
  <c r="C49" i="32"/>
  <c r="F37" i="26"/>
  <c r="F33" i="26"/>
  <c r="X36" i="11"/>
  <c r="H36" i="11"/>
  <c r="AC20" i="32"/>
  <c r="AB22" i="32"/>
  <c r="AB20" i="32"/>
  <c r="AA20" i="32"/>
  <c r="D43" i="32"/>
  <c r="D44" i="32"/>
  <c r="D42" i="32"/>
  <c r="D48" i="31"/>
  <c r="V20" i="32"/>
  <c r="N20" i="32"/>
  <c r="M55" i="31"/>
  <c r="U17" i="32" s="1"/>
  <c r="U23" i="32"/>
  <c r="U24" i="32"/>
  <c r="C44" i="32"/>
  <c r="C42" i="32"/>
  <c r="C43" i="32"/>
  <c r="O22" i="32"/>
  <c r="O20" i="32"/>
  <c r="E53" i="32" s="1"/>
  <c r="M20" i="32"/>
  <c r="T20" i="32"/>
  <c r="O19" i="14"/>
  <c r="AI19" i="14"/>
  <c r="F24" i="31"/>
  <c r="F22" i="31"/>
  <c r="F20" i="31"/>
  <c r="AH18" i="14"/>
  <c r="Z11" i="10"/>
  <c r="AH20" i="14" s="1"/>
  <c r="M19" i="14"/>
  <c r="AL19" i="14"/>
  <c r="H37" i="11"/>
  <c r="Q14" i="14" s="1"/>
  <c r="F24" i="35"/>
  <c r="F17" i="35"/>
  <c r="F33" i="35"/>
  <c r="F16" i="35"/>
  <c r="F32" i="35"/>
  <c r="F28" i="35"/>
  <c r="F15" i="30"/>
  <c r="O19" i="32" s="1"/>
  <c r="F53" i="31"/>
  <c r="C15" i="30"/>
  <c r="L19" i="32" s="1"/>
  <c r="C53" i="31"/>
  <c r="W18" i="14"/>
  <c r="Z18" i="14"/>
  <c r="P19" i="14"/>
  <c r="D49" i="31"/>
  <c r="E49" i="31"/>
  <c r="W49" i="31"/>
  <c r="J37" i="11"/>
  <c r="S14" i="14" s="1"/>
  <c r="I39" i="10"/>
  <c r="I30" i="11" s="1"/>
  <c r="I37" i="10"/>
  <c r="I28" i="11" s="1"/>
  <c r="I35" i="10"/>
  <c r="I26" i="11" s="1"/>
  <c r="I33" i="10"/>
  <c r="I24" i="11" s="1"/>
  <c r="I31" i="10"/>
  <c r="G39" i="10"/>
  <c r="G30" i="11" s="1"/>
  <c r="G37" i="10"/>
  <c r="G28" i="11" s="1"/>
  <c r="G35" i="10"/>
  <c r="G26" i="11" s="1"/>
  <c r="G33" i="10"/>
  <c r="G31" i="10"/>
  <c r="G22" i="11" s="1"/>
  <c r="E52" i="31"/>
  <c r="F23" i="31"/>
  <c r="V49" i="31"/>
  <c r="N49" i="31"/>
  <c r="N54" i="31" s="1"/>
  <c r="V16" i="32" s="1"/>
  <c r="AB18" i="14"/>
  <c r="R19" i="14"/>
  <c r="H53" i="14" s="1"/>
  <c r="P38" i="11"/>
  <c r="F37" i="11"/>
  <c r="O14" i="14" s="1"/>
  <c r="F49" i="31"/>
  <c r="G38" i="11"/>
  <c r="P15" i="14" s="1"/>
  <c r="I38" i="10"/>
  <c r="I29" i="11" s="1"/>
  <c r="I36" i="10"/>
  <c r="I27" i="11" s="1"/>
  <c r="I34" i="10"/>
  <c r="I32" i="10"/>
  <c r="I23" i="11" s="1"/>
  <c r="I30" i="10"/>
  <c r="G38" i="10"/>
  <c r="G29" i="11" s="1"/>
  <c r="G36" i="10"/>
  <c r="G27" i="11" s="1"/>
  <c r="G34" i="10"/>
  <c r="G25" i="11" s="1"/>
  <c r="G32" i="10"/>
  <c r="G30" i="10"/>
  <c r="G21" i="11" s="1"/>
  <c r="F21" i="31"/>
  <c r="L49" i="31"/>
  <c r="X49" i="31"/>
  <c r="C32" i="29"/>
  <c r="C20" i="31" s="1"/>
  <c r="C33" i="29"/>
  <c r="C21" i="31" s="1"/>
  <c r="C34" i="29"/>
  <c r="C35" i="29"/>
  <c r="C23" i="31" s="1"/>
  <c r="C36" i="29"/>
  <c r="H15" i="10"/>
  <c r="H11" i="10" s="1"/>
  <c r="H38" i="11"/>
  <c r="J15" i="10"/>
  <c r="J11" i="10" s="1"/>
  <c r="J38" i="11"/>
  <c r="T36" i="11"/>
  <c r="F34" i="11"/>
  <c r="I34" i="11"/>
  <c r="X34" i="11"/>
  <c r="Z34" i="11"/>
  <c r="AA34" i="11"/>
  <c r="AB34" i="11"/>
  <c r="I38" i="11"/>
  <c r="G37" i="11"/>
  <c r="P14" i="14" s="1"/>
  <c r="I37" i="11"/>
  <c r="O38" i="11"/>
  <c r="X15" i="14" s="1"/>
  <c r="C37" i="11"/>
  <c r="I25" i="11"/>
  <c r="I21" i="11"/>
  <c r="G23" i="11"/>
  <c r="O33" i="10"/>
  <c r="O37" i="10"/>
  <c r="O28" i="11" s="1"/>
  <c r="X35" i="10"/>
  <c r="X26" i="11" s="1"/>
  <c r="X39" i="10"/>
  <c r="X30" i="11" s="1"/>
  <c r="H39" i="10"/>
  <c r="H30" i="11" s="1"/>
  <c r="H37" i="10"/>
  <c r="H28" i="11" s="1"/>
  <c r="H35" i="10"/>
  <c r="H26" i="11" s="1"/>
  <c r="H33" i="10"/>
  <c r="H31" i="10"/>
  <c r="J38" i="10"/>
  <c r="J29" i="11" s="1"/>
  <c r="J36" i="10"/>
  <c r="J27" i="11" s="1"/>
  <c r="J34" i="10"/>
  <c r="J32" i="10"/>
  <c r="J30" i="10"/>
  <c r="O30" i="10"/>
  <c r="O34" i="10"/>
  <c r="O38" i="10"/>
  <c r="O29" i="11" s="1"/>
  <c r="X30" i="10"/>
  <c r="X21" i="11" s="1"/>
  <c r="X34" i="10"/>
  <c r="X25" i="11" s="1"/>
  <c r="X38" i="10"/>
  <c r="X29" i="11" s="1"/>
  <c r="S36" i="11"/>
  <c r="AB13" i="14" s="1"/>
  <c r="O36" i="11"/>
  <c r="AA36" i="11"/>
  <c r="AC36" i="11"/>
  <c r="R36" i="11"/>
  <c r="G34" i="11"/>
  <c r="D34" i="11"/>
  <c r="AC34" i="11"/>
  <c r="Y34" i="11"/>
  <c r="AD34" i="11"/>
  <c r="D36" i="11"/>
  <c r="C38" i="11"/>
  <c r="E37" i="11"/>
  <c r="J36" i="11"/>
  <c r="E36" i="11"/>
  <c r="X38" i="11"/>
  <c r="I22" i="11"/>
  <c r="X22" i="11"/>
  <c r="G24" i="11"/>
  <c r="O35" i="10"/>
  <c r="O26" i="11" s="1"/>
  <c r="O39" i="10"/>
  <c r="O30" i="11" s="1"/>
  <c r="X33" i="10"/>
  <c r="X24" i="11" s="1"/>
  <c r="X37" i="10"/>
  <c r="X28" i="11" s="1"/>
  <c r="H38" i="10"/>
  <c r="H29" i="11" s="1"/>
  <c r="H36" i="10"/>
  <c r="H27" i="11" s="1"/>
  <c r="H34" i="10"/>
  <c r="H32" i="10"/>
  <c r="H30" i="10"/>
  <c r="J39" i="10"/>
  <c r="J30" i="11" s="1"/>
  <c r="J37" i="10"/>
  <c r="J28" i="11" s="1"/>
  <c r="J35" i="10"/>
  <c r="J26" i="11" s="1"/>
  <c r="J33" i="10"/>
  <c r="J31" i="10"/>
  <c r="O32" i="10"/>
  <c r="O36" i="10"/>
  <c r="O27" i="11" s="1"/>
  <c r="X32" i="10"/>
  <c r="X23" i="11" s="1"/>
  <c r="X36" i="10"/>
  <c r="X27" i="11" s="1"/>
  <c r="Q36" i="11"/>
  <c r="Z13" i="14" s="1"/>
  <c r="Y58" i="10"/>
  <c r="Y31" i="10" s="1"/>
  <c r="Y22" i="11" s="1"/>
  <c r="Y60" i="10"/>
  <c r="Y33" i="10" s="1"/>
  <c r="Y24" i="11" s="1"/>
  <c r="Y62" i="10"/>
  <c r="Y35" i="10" s="1"/>
  <c r="Y26" i="11" s="1"/>
  <c r="Y64" i="10"/>
  <c r="Y37" i="10" s="1"/>
  <c r="Y28" i="11" s="1"/>
  <c r="Y66" i="10"/>
  <c r="Y39" i="10" s="1"/>
  <c r="Y30" i="11" s="1"/>
  <c r="Y57" i="10"/>
  <c r="Y30" i="10" s="1"/>
  <c r="Y21" i="11" s="1"/>
  <c r="Y59" i="10"/>
  <c r="Y32" i="10" s="1"/>
  <c r="Y23" i="11" s="1"/>
  <c r="Y61" i="10"/>
  <c r="Y34" i="10" s="1"/>
  <c r="Y25" i="11" s="1"/>
  <c r="Y63" i="10"/>
  <c r="Y36" i="10" s="1"/>
  <c r="Y27" i="11" s="1"/>
  <c r="Y65" i="10"/>
  <c r="Y38" i="10" s="1"/>
  <c r="Y29" i="11" s="1"/>
  <c r="AB58" i="10"/>
  <c r="AB31" i="10" s="1"/>
  <c r="AB22" i="11" s="1"/>
  <c r="AB60" i="10"/>
  <c r="AB33" i="10" s="1"/>
  <c r="AB24" i="11" s="1"/>
  <c r="AB62" i="10"/>
  <c r="AB35" i="10" s="1"/>
  <c r="AB26" i="11" s="1"/>
  <c r="AB64" i="10"/>
  <c r="AB37" i="10" s="1"/>
  <c r="AB28" i="11" s="1"/>
  <c r="AB66" i="10"/>
  <c r="AB39" i="10" s="1"/>
  <c r="AB30" i="11" s="1"/>
  <c r="AB57" i="10"/>
  <c r="AB30" i="10" s="1"/>
  <c r="AB21" i="11" s="1"/>
  <c r="AB59" i="10"/>
  <c r="AB32" i="10" s="1"/>
  <c r="AB23" i="11" s="1"/>
  <c r="AB61" i="10"/>
  <c r="AB34" i="10" s="1"/>
  <c r="AB25" i="11" s="1"/>
  <c r="AB63" i="10"/>
  <c r="AB36" i="10" s="1"/>
  <c r="AB27" i="11" s="1"/>
  <c r="AB65" i="10"/>
  <c r="AB38" i="10" s="1"/>
  <c r="AB29" i="11" s="1"/>
  <c r="AD58" i="10"/>
  <c r="AD31" i="10" s="1"/>
  <c r="AD22" i="11" s="1"/>
  <c r="AD60" i="10"/>
  <c r="AD33" i="10" s="1"/>
  <c r="AD24" i="11" s="1"/>
  <c r="AD62" i="10"/>
  <c r="AD35" i="10" s="1"/>
  <c r="AD26" i="11" s="1"/>
  <c r="AD64" i="10"/>
  <c r="AD37" i="10" s="1"/>
  <c r="AD28" i="11" s="1"/>
  <c r="AD66" i="10"/>
  <c r="AD39" i="10" s="1"/>
  <c r="AD30" i="11" s="1"/>
  <c r="AD57" i="10"/>
  <c r="AD30" i="10" s="1"/>
  <c r="AD21" i="11" s="1"/>
  <c r="AD59" i="10"/>
  <c r="AD32" i="10" s="1"/>
  <c r="AD23" i="11" s="1"/>
  <c r="AD61" i="10"/>
  <c r="AD34" i="10" s="1"/>
  <c r="AD25" i="11" s="1"/>
  <c r="AD63" i="10"/>
  <c r="AD36" i="10" s="1"/>
  <c r="AD27" i="11" s="1"/>
  <c r="AD65" i="10"/>
  <c r="AD38" i="10" s="1"/>
  <c r="AD29" i="11" s="1"/>
  <c r="E130" i="10"/>
  <c r="E113" i="10"/>
  <c r="E30" i="10" s="1"/>
  <c r="E114" i="10"/>
  <c r="E31" i="10" s="1"/>
  <c r="E115" i="10"/>
  <c r="E32" i="10" s="1"/>
  <c r="E116" i="10"/>
  <c r="E33" i="10" s="1"/>
  <c r="E117" i="10"/>
  <c r="E34" i="10" s="1"/>
  <c r="E118" i="10"/>
  <c r="E35" i="10" s="1"/>
  <c r="E26" i="11" s="1"/>
  <c r="E119" i="10"/>
  <c r="E36" i="10" s="1"/>
  <c r="E27" i="11" s="1"/>
  <c r="E120" i="10"/>
  <c r="E37" i="10" s="1"/>
  <c r="E28" i="11" s="1"/>
  <c r="E121" i="10"/>
  <c r="E38" i="10" s="1"/>
  <c r="E29" i="11" s="1"/>
  <c r="E122" i="10"/>
  <c r="E39" i="10" s="1"/>
  <c r="E30" i="11" s="1"/>
  <c r="E99" i="10"/>
  <c r="E16" i="10" s="1"/>
  <c r="E133" i="10"/>
  <c r="E138" i="10" s="1"/>
  <c r="F102" i="10"/>
  <c r="F113" i="10"/>
  <c r="F30" i="10" s="1"/>
  <c r="F21" i="11" s="1"/>
  <c r="F114" i="10"/>
  <c r="F31" i="10" s="1"/>
  <c r="F22" i="11" s="1"/>
  <c r="F115" i="10"/>
  <c r="F32" i="10" s="1"/>
  <c r="F23" i="11" s="1"/>
  <c r="F116" i="10"/>
  <c r="F33" i="10" s="1"/>
  <c r="F24" i="11" s="1"/>
  <c r="F117" i="10"/>
  <c r="F34" i="10" s="1"/>
  <c r="F25" i="11" s="1"/>
  <c r="F118" i="10"/>
  <c r="F35" i="10" s="1"/>
  <c r="F26" i="11" s="1"/>
  <c r="F119" i="10"/>
  <c r="F36" i="10" s="1"/>
  <c r="F27" i="11" s="1"/>
  <c r="F120" i="10"/>
  <c r="F37" i="10" s="1"/>
  <c r="F28" i="11" s="1"/>
  <c r="F121" i="10"/>
  <c r="F38" i="10" s="1"/>
  <c r="F29" i="11" s="1"/>
  <c r="F122" i="10"/>
  <c r="F39" i="10" s="1"/>
  <c r="F30" i="11" s="1"/>
  <c r="D130" i="10"/>
  <c r="D133" i="10" s="1"/>
  <c r="D113" i="10"/>
  <c r="D114" i="10"/>
  <c r="D31" i="10" s="1"/>
  <c r="D22" i="11" s="1"/>
  <c r="D115" i="10"/>
  <c r="D32" i="10" s="1"/>
  <c r="D23" i="11" s="1"/>
  <c r="D116" i="10"/>
  <c r="D33" i="10" s="1"/>
  <c r="D24" i="11" s="1"/>
  <c r="D117" i="10"/>
  <c r="D34" i="10" s="1"/>
  <c r="D25" i="11" s="1"/>
  <c r="D118" i="10"/>
  <c r="D35" i="10" s="1"/>
  <c r="D26" i="11" s="1"/>
  <c r="D119" i="10"/>
  <c r="D36" i="10" s="1"/>
  <c r="D27" i="11" s="1"/>
  <c r="D120" i="10"/>
  <c r="D37" i="10" s="1"/>
  <c r="D28" i="11" s="1"/>
  <c r="D121" i="10"/>
  <c r="D38" i="10" s="1"/>
  <c r="D29" i="11" s="1"/>
  <c r="D122" i="10"/>
  <c r="D39" i="10" s="1"/>
  <c r="D30" i="11" s="1"/>
  <c r="G15" i="10"/>
  <c r="G11" i="10" s="1"/>
  <c r="H19" i="10"/>
  <c r="G16" i="10"/>
  <c r="F19" i="10"/>
  <c r="N12" i="14"/>
  <c r="E32" i="12"/>
  <c r="E33" i="12"/>
  <c r="E34" i="12"/>
  <c r="E35" i="12"/>
  <c r="E36" i="12"/>
  <c r="AE12" i="14"/>
  <c r="W32" i="12"/>
  <c r="W33" i="12"/>
  <c r="W34" i="12"/>
  <c r="W35" i="12"/>
  <c r="W36" i="12"/>
  <c r="C31" i="12"/>
  <c r="C32" i="12"/>
  <c r="C33" i="12"/>
  <c r="C34" i="12"/>
  <c r="C35" i="12"/>
  <c r="C36" i="12"/>
  <c r="Q12" i="14"/>
  <c r="H32" i="12"/>
  <c r="H21" i="11" s="1"/>
  <c r="H33" i="12"/>
  <c r="H22" i="11" s="1"/>
  <c r="H34" i="12"/>
  <c r="H23" i="11" s="1"/>
  <c r="H35" i="12"/>
  <c r="H36" i="12"/>
  <c r="H25" i="11" s="1"/>
  <c r="S12" i="14"/>
  <c r="J32" i="12"/>
  <c r="J21" i="11" s="1"/>
  <c r="J33" i="12"/>
  <c r="J22" i="11" s="1"/>
  <c r="J34" i="12"/>
  <c r="J23" i="11" s="1"/>
  <c r="J35" i="12"/>
  <c r="J36" i="12"/>
  <c r="J25" i="11" s="1"/>
  <c r="V12" i="14"/>
  <c r="M32" i="12"/>
  <c r="M33" i="12"/>
  <c r="M34" i="12"/>
  <c r="M35" i="12"/>
  <c r="M36" i="12"/>
  <c r="L12" i="14"/>
  <c r="C17" i="12"/>
  <c r="C28" i="29"/>
  <c r="C20" i="29"/>
  <c r="C8" i="31" s="1"/>
  <c r="C26" i="29"/>
  <c r="C14" i="31" s="1"/>
  <c r="C18" i="29"/>
  <c r="C6" i="31" s="1"/>
  <c r="C23" i="29"/>
  <c r="C11" i="31" s="1"/>
  <c r="C17" i="29"/>
  <c r="C25" i="29"/>
  <c r="C13" i="31" s="1"/>
  <c r="C31" i="29"/>
  <c r="C19" i="31" s="1"/>
  <c r="C24" i="29"/>
  <c r="C12" i="31" s="1"/>
  <c r="C30" i="29"/>
  <c r="C18" i="31" s="1"/>
  <c r="C22" i="29"/>
  <c r="C19" i="29"/>
  <c r="C7" i="31" s="1"/>
  <c r="C27" i="29"/>
  <c r="C21" i="29"/>
  <c r="C9" i="31" s="1"/>
  <c r="C29" i="29"/>
  <c r="W5" i="31"/>
  <c r="W54" i="31"/>
  <c r="I29" i="10"/>
  <c r="F21" i="10"/>
  <c r="G28" i="10"/>
  <c r="G29" i="10"/>
  <c r="G20" i="10"/>
  <c r="J20" i="10"/>
  <c r="O54" i="31"/>
  <c r="W16" i="32" s="1"/>
  <c r="X21" i="10"/>
  <c r="X29" i="10"/>
  <c r="X20" i="11" s="1"/>
  <c r="F26" i="10"/>
  <c r="I19" i="10"/>
  <c r="I27" i="10"/>
  <c r="I21" i="10"/>
  <c r="G25" i="10"/>
  <c r="G18" i="10"/>
  <c r="G19" i="10"/>
  <c r="I17" i="10"/>
  <c r="I16" i="10"/>
  <c r="F12" i="31"/>
  <c r="O25" i="10"/>
  <c r="AA9" i="11"/>
  <c r="O28" i="10"/>
  <c r="O20" i="10"/>
  <c r="X19" i="10"/>
  <c r="F20" i="10"/>
  <c r="G26" i="10"/>
  <c r="G27" i="10"/>
  <c r="F16" i="10"/>
  <c r="E29" i="10"/>
  <c r="L54" i="31"/>
  <c r="T16" i="32" s="1"/>
  <c r="X54" i="31"/>
  <c r="G21" i="10"/>
  <c r="F16" i="31"/>
  <c r="F8" i="31"/>
  <c r="AC19" i="11"/>
  <c r="E15" i="10"/>
  <c r="E11" i="10" s="1"/>
  <c r="D24" i="10"/>
  <c r="D16" i="10"/>
  <c r="F25" i="10"/>
  <c r="I18" i="10"/>
  <c r="D54" i="31"/>
  <c r="M16" i="32" s="1"/>
  <c r="F11" i="30"/>
  <c r="O21" i="32" s="1"/>
  <c r="E38" i="32" s="1"/>
  <c r="M10" i="30"/>
  <c r="M11" i="30"/>
  <c r="W21" i="32" s="1"/>
  <c r="F210" i="30"/>
  <c r="F206" i="30"/>
  <c r="F207" i="30"/>
  <c r="C209" i="30"/>
  <c r="C210" i="30"/>
  <c r="C206" i="30"/>
  <c r="C207" i="30"/>
  <c r="D209" i="30"/>
  <c r="D210" i="30"/>
  <c r="D206" i="30"/>
  <c r="D207" i="30"/>
  <c r="J10" i="30"/>
  <c r="J11" i="30"/>
  <c r="T21" i="32" s="1"/>
  <c r="E209" i="30"/>
  <c r="E210" i="30"/>
  <c r="E206" i="30"/>
  <c r="E207" i="30"/>
  <c r="D10" i="30"/>
  <c r="D11" i="30"/>
  <c r="M21" i="32" s="1"/>
  <c r="C38" i="32" s="1"/>
  <c r="C39" i="32" s="1"/>
  <c r="D5" i="31"/>
  <c r="F209" i="30"/>
  <c r="L5" i="31"/>
  <c r="M56" i="31"/>
  <c r="C11" i="30"/>
  <c r="L21" i="32" s="1"/>
  <c r="B38" i="32" s="1"/>
  <c r="O5" i="31"/>
  <c r="C5" i="31"/>
  <c r="L15" i="14"/>
  <c r="AA13" i="11"/>
  <c r="E27" i="10"/>
  <c r="E18" i="10"/>
  <c r="R15" i="14"/>
  <c r="O22" i="10"/>
  <c r="AC9" i="11"/>
  <c r="X16" i="10"/>
  <c r="X20" i="10"/>
  <c r="X11" i="11" s="1"/>
  <c r="X24" i="10"/>
  <c r="X15" i="11" s="1"/>
  <c r="X28" i="10"/>
  <c r="X19" i="11" s="1"/>
  <c r="D18" i="10"/>
  <c r="D27" i="10"/>
  <c r="F28" i="10"/>
  <c r="N14" i="14"/>
  <c r="I26" i="10"/>
  <c r="G10" i="26"/>
  <c r="H10" i="26"/>
  <c r="AF15" i="14"/>
  <c r="S15" i="14"/>
  <c r="E17" i="10"/>
  <c r="O26" i="10"/>
  <c r="O18" i="10"/>
  <c r="AA18" i="11"/>
  <c r="AA11" i="11"/>
  <c r="AA15" i="11"/>
  <c r="AA19" i="11"/>
  <c r="AC14" i="11"/>
  <c r="AC18" i="11"/>
  <c r="AC11" i="11"/>
  <c r="AC15" i="11"/>
  <c r="D22" i="10"/>
  <c r="F29" i="10"/>
  <c r="F22" i="10"/>
  <c r="I22" i="10"/>
  <c r="I15" i="10"/>
  <c r="I11" i="10" s="1"/>
  <c r="I28" i="10"/>
  <c r="G24" i="10"/>
  <c r="G17" i="10"/>
  <c r="M14" i="14"/>
  <c r="R14" i="14"/>
  <c r="AA20" i="11"/>
  <c r="Q15" i="14"/>
  <c r="AC7" i="11"/>
  <c r="F18" i="10"/>
  <c r="D26" i="10"/>
  <c r="D25" i="10"/>
  <c r="AC17" i="11"/>
  <c r="Y15" i="14"/>
  <c r="D15" i="10"/>
  <c r="D11" i="10" s="1"/>
  <c r="P15" i="10"/>
  <c r="AA12" i="11"/>
  <c r="AA17" i="11"/>
  <c r="AC16" i="11"/>
  <c r="AC20" i="11"/>
  <c r="D29" i="10"/>
  <c r="G133" i="10"/>
  <c r="E135" i="10"/>
  <c r="E136" i="10"/>
  <c r="E139" i="10"/>
  <c r="E137" i="10"/>
  <c r="H135" i="10"/>
  <c r="H136" i="10"/>
  <c r="H139" i="10"/>
  <c r="H137" i="10"/>
  <c r="J135" i="10"/>
  <c r="J139" i="10"/>
  <c r="J136" i="10"/>
  <c r="J137" i="10"/>
  <c r="F133" i="10"/>
  <c r="I133" i="10"/>
  <c r="AC10" i="11"/>
  <c r="J22" i="12"/>
  <c r="J23" i="12"/>
  <c r="J24" i="12"/>
  <c r="J25" i="12"/>
  <c r="J26" i="12"/>
  <c r="J27" i="12"/>
  <c r="J28" i="12"/>
  <c r="J29" i="12"/>
  <c r="J30" i="12"/>
  <c r="J31" i="12"/>
  <c r="W23" i="12"/>
  <c r="W25" i="12"/>
  <c r="W27" i="12"/>
  <c r="W29" i="12"/>
  <c r="W31" i="12"/>
  <c r="W22" i="12"/>
  <c r="W24" i="12"/>
  <c r="W26" i="12"/>
  <c r="W28" i="12"/>
  <c r="W30" i="12"/>
  <c r="E22" i="12"/>
  <c r="E23" i="12"/>
  <c r="E24" i="12"/>
  <c r="E25" i="12"/>
  <c r="E26" i="12"/>
  <c r="E27" i="12"/>
  <c r="E28" i="12"/>
  <c r="E29" i="12"/>
  <c r="E30" i="12"/>
  <c r="E31" i="12"/>
  <c r="M23" i="12"/>
  <c r="M25" i="12"/>
  <c r="M27" i="12"/>
  <c r="M29" i="12"/>
  <c r="M31" i="12"/>
  <c r="M22" i="12"/>
  <c r="M24" i="12"/>
  <c r="M26" i="12"/>
  <c r="M28" i="12"/>
  <c r="M30" i="12"/>
  <c r="H22" i="12"/>
  <c r="H23" i="12"/>
  <c r="H24" i="12"/>
  <c r="H25" i="12"/>
  <c r="H26" i="12"/>
  <c r="H27" i="12"/>
  <c r="H28" i="12"/>
  <c r="H29" i="12"/>
  <c r="H30" i="12"/>
  <c r="H31" i="12"/>
  <c r="M13" i="14"/>
  <c r="W19" i="12"/>
  <c r="W21" i="12"/>
  <c r="W18" i="12"/>
  <c r="W20" i="12"/>
  <c r="W17" i="12"/>
  <c r="M19" i="12"/>
  <c r="M21" i="12"/>
  <c r="M18" i="12"/>
  <c r="M20" i="12"/>
  <c r="M17" i="12"/>
  <c r="H17" i="12"/>
  <c r="H18" i="12"/>
  <c r="H19" i="12"/>
  <c r="H20" i="12"/>
  <c r="H21" i="12"/>
  <c r="J17" i="12"/>
  <c r="J18" i="12"/>
  <c r="J19" i="12"/>
  <c r="J20" i="12"/>
  <c r="J21" i="12"/>
  <c r="E17" i="12"/>
  <c r="E18" i="12"/>
  <c r="E19" i="12"/>
  <c r="E20" i="12"/>
  <c r="E21" i="12"/>
  <c r="AA7" i="11"/>
  <c r="AA10" i="11"/>
  <c r="AA14" i="11"/>
  <c r="C2" i="26"/>
  <c r="C1" i="25"/>
  <c r="C4" i="25" s="1"/>
  <c r="AA13" i="14"/>
  <c r="R15" i="10"/>
  <c r="AA8" i="11"/>
  <c r="AA16" i="11"/>
  <c r="AC8" i="11"/>
  <c r="AC12" i="11"/>
  <c r="AC13" i="11"/>
  <c r="Z10" i="10"/>
  <c r="Y9" i="10"/>
  <c r="Y42" i="10"/>
  <c r="Y55" i="10"/>
  <c r="Y28" i="10" s="1"/>
  <c r="Y53" i="10"/>
  <c r="Y26" i="10" s="1"/>
  <c r="Y51" i="10"/>
  <c r="Y24" i="10" s="1"/>
  <c r="Y49" i="10"/>
  <c r="Y22" i="10" s="1"/>
  <c r="Y47" i="10"/>
  <c r="Y20" i="10" s="1"/>
  <c r="Y45" i="10"/>
  <c r="Y18" i="10" s="1"/>
  <c r="Y43" i="10"/>
  <c r="Y16" i="10" s="1"/>
  <c r="Y56" i="10"/>
  <c r="Y29" i="10" s="1"/>
  <c r="Y54" i="10"/>
  <c r="Y27" i="10" s="1"/>
  <c r="Y52" i="10"/>
  <c r="Y25" i="10" s="1"/>
  <c r="Y50" i="10"/>
  <c r="Y23" i="10" s="1"/>
  <c r="Y48" i="10"/>
  <c r="Y21" i="10" s="1"/>
  <c r="Y46" i="10"/>
  <c r="Y19" i="10" s="1"/>
  <c r="Y44" i="10"/>
  <c r="Y17" i="10" s="1"/>
  <c r="AB9" i="10"/>
  <c r="AB55" i="10"/>
  <c r="AB28" i="10" s="1"/>
  <c r="AB53" i="10"/>
  <c r="AB26" i="10" s="1"/>
  <c r="AB51" i="10"/>
  <c r="AB24" i="10" s="1"/>
  <c r="AB49" i="10"/>
  <c r="AB22" i="10" s="1"/>
  <c r="AB47" i="10"/>
  <c r="AB20" i="10" s="1"/>
  <c r="AB45" i="10"/>
  <c r="AB18" i="10" s="1"/>
  <c r="AB43" i="10"/>
  <c r="AB16" i="10" s="1"/>
  <c r="AB56" i="10"/>
  <c r="AB29" i="10" s="1"/>
  <c r="AB54" i="10"/>
  <c r="AB27" i="10" s="1"/>
  <c r="AB52" i="10"/>
  <c r="AB25" i="10" s="1"/>
  <c r="AB50" i="10"/>
  <c r="AB23" i="10" s="1"/>
  <c r="AB48" i="10"/>
  <c r="AB21" i="10" s="1"/>
  <c r="AB46" i="10"/>
  <c r="AB19" i="10" s="1"/>
  <c r="AB44" i="10"/>
  <c r="AB17" i="10" s="1"/>
  <c r="AB42" i="10"/>
  <c r="AD9" i="10"/>
  <c r="AD56" i="10"/>
  <c r="AD29" i="10" s="1"/>
  <c r="AD54" i="10"/>
  <c r="AD27" i="10" s="1"/>
  <c r="AD52" i="10"/>
  <c r="AD25" i="10" s="1"/>
  <c r="AD50" i="10"/>
  <c r="AD23" i="10" s="1"/>
  <c r="AD48" i="10"/>
  <c r="AD21" i="10" s="1"/>
  <c r="AD46" i="10"/>
  <c r="AD19" i="10" s="1"/>
  <c r="AD44" i="10"/>
  <c r="AD17" i="10" s="1"/>
  <c r="AD42" i="10"/>
  <c r="AD55" i="10"/>
  <c r="AD28" i="10" s="1"/>
  <c r="AD53" i="10"/>
  <c r="AD26" i="10" s="1"/>
  <c r="AD51" i="10"/>
  <c r="AD24" i="10" s="1"/>
  <c r="AD49" i="10"/>
  <c r="AD22" i="10" s="1"/>
  <c r="AD47" i="10"/>
  <c r="AD20" i="10" s="1"/>
  <c r="AD45" i="10"/>
  <c r="AD18" i="10" s="1"/>
  <c r="AD43" i="10"/>
  <c r="AD16" i="10" s="1"/>
  <c r="N5" i="11"/>
  <c r="O5" i="11"/>
  <c r="R5" i="11"/>
  <c r="Z5" i="11"/>
  <c r="AB5" i="11"/>
  <c r="X13" i="14"/>
  <c r="O15" i="10"/>
  <c r="T5" i="11"/>
  <c r="AC13" i="14"/>
  <c r="T15" i="10"/>
  <c r="Q5" i="11"/>
  <c r="P5" i="11"/>
  <c r="S5" i="11"/>
  <c r="M5" i="11"/>
  <c r="AA5" i="11"/>
  <c r="AD5" i="11"/>
  <c r="AI13" i="14"/>
  <c r="AA15" i="10"/>
  <c r="AA11" i="10" s="1"/>
  <c r="AK13" i="14"/>
  <c r="AC15" i="10"/>
  <c r="AC11" i="10" s="1"/>
  <c r="AF13" i="14"/>
  <c r="X15" i="10"/>
  <c r="O21" i="14"/>
  <c r="E42" i="14" s="1"/>
  <c r="M21" i="14"/>
  <c r="C42" i="14" s="1"/>
  <c r="G10" i="10"/>
  <c r="F10" i="10"/>
  <c r="H10" i="10"/>
  <c r="S13" i="14"/>
  <c r="L14" i="14"/>
  <c r="Q13" i="14"/>
  <c r="N13" i="14"/>
  <c r="X13" i="11"/>
  <c r="X10" i="11"/>
  <c r="X12" i="11"/>
  <c r="X7" i="11"/>
  <c r="X8" i="11"/>
  <c r="X18" i="11"/>
  <c r="X16" i="11"/>
  <c r="X14" i="11"/>
  <c r="Z10" i="11"/>
  <c r="Z14" i="11"/>
  <c r="Z18" i="11"/>
  <c r="Z13" i="11"/>
  <c r="Z7" i="11"/>
  <c r="Z19" i="11"/>
  <c r="Z20" i="11"/>
  <c r="Z8" i="11"/>
  <c r="Z12" i="11"/>
  <c r="Z16" i="11"/>
  <c r="Z9" i="11"/>
  <c r="Z17" i="11"/>
  <c r="Z15" i="11"/>
  <c r="Z11" i="11"/>
  <c r="W2" i="10"/>
  <c r="M2" i="10"/>
  <c r="M1" i="12"/>
  <c r="W1" i="12" s="1"/>
  <c r="AG21" i="14"/>
  <c r="AK21" i="14"/>
  <c r="AI21" i="14"/>
  <c r="AL21" i="14"/>
  <c r="AF21" i="14"/>
  <c r="AJ21" i="14"/>
  <c r="Z6" i="11"/>
  <c r="Z41" i="11" s="1"/>
  <c r="AH21" i="14"/>
  <c r="L2" i="14"/>
  <c r="C1" i="12"/>
  <c r="C2" i="10"/>
  <c r="C3" i="11"/>
  <c r="J10" i="10" l="1"/>
  <c r="C10" i="30"/>
  <c r="F5" i="31"/>
  <c r="F10" i="30"/>
  <c r="C17" i="31"/>
  <c r="C15" i="31"/>
  <c r="C10" i="31"/>
  <c r="C16" i="31"/>
  <c r="J24" i="11"/>
  <c r="H24" i="11"/>
  <c r="C24" i="31"/>
  <c r="C22" i="31"/>
  <c r="V54" i="31"/>
  <c r="AD16" i="32" s="1"/>
  <c r="C51" i="14"/>
  <c r="V19" i="32"/>
  <c r="N5" i="31"/>
  <c r="L11" i="30"/>
  <c r="V21" i="32" s="1"/>
  <c r="L10" i="30"/>
  <c r="AC19" i="32"/>
  <c r="S10" i="30"/>
  <c r="X5" i="31"/>
  <c r="S11" i="30"/>
  <c r="AC21" i="32" s="1"/>
  <c r="AA19" i="32"/>
  <c r="Q11" i="30"/>
  <c r="AA21" i="32" s="1"/>
  <c r="Q10" i="30"/>
  <c r="V5" i="31"/>
  <c r="F53" i="14"/>
  <c r="C52" i="31"/>
  <c r="H51" i="14"/>
  <c r="F51" i="14"/>
  <c r="E51" i="14"/>
  <c r="E53" i="31"/>
  <c r="E54" i="31" s="1"/>
  <c r="N16" i="32" s="1"/>
  <c r="E15" i="30"/>
  <c r="C53" i="14"/>
  <c r="E53" i="14"/>
  <c r="B48" i="32"/>
  <c r="B47" i="32"/>
  <c r="B49" i="32"/>
  <c r="E47" i="32"/>
  <c r="E48" i="32"/>
  <c r="C52" i="32"/>
  <c r="C60" i="32" s="1"/>
  <c r="C51" i="32"/>
  <c r="D51" i="32"/>
  <c r="D52" i="32"/>
  <c r="C53" i="32"/>
  <c r="D53" i="32"/>
  <c r="E52" i="32"/>
  <c r="E51" i="32"/>
  <c r="E49" i="32"/>
  <c r="E59" i="32"/>
  <c r="C55" i="32"/>
  <c r="C56" i="32"/>
  <c r="C40" i="32"/>
  <c r="C57" i="32" s="1"/>
  <c r="W55" i="31"/>
  <c r="AA17" i="32" s="1"/>
  <c r="AB23" i="32"/>
  <c r="AB24" i="32"/>
  <c r="E39" i="32"/>
  <c r="E40" i="32"/>
  <c r="B39" i="32"/>
  <c r="B40" i="32"/>
  <c r="F55" i="31"/>
  <c r="O17" i="32" s="1"/>
  <c r="O23" i="32"/>
  <c r="O24" i="32"/>
  <c r="C59" i="32"/>
  <c r="C61" i="32"/>
  <c r="E44" i="32"/>
  <c r="E42" i="32"/>
  <c r="E55" i="32" s="1"/>
  <c r="E43" i="32"/>
  <c r="E56" i="32" s="1"/>
  <c r="O55" i="31"/>
  <c r="W17" i="32" s="1"/>
  <c r="W23" i="32"/>
  <c r="W24" i="32"/>
  <c r="D55" i="31"/>
  <c r="M17" i="32" s="1"/>
  <c r="M23" i="32"/>
  <c r="M24" i="32"/>
  <c r="E61" i="32"/>
  <c r="E60" i="32"/>
  <c r="L55" i="31"/>
  <c r="T17" i="32" s="1"/>
  <c r="T24" i="32"/>
  <c r="T23" i="32"/>
  <c r="L22" i="32"/>
  <c r="L20" i="32"/>
  <c r="B53" i="32" s="1"/>
  <c r="C55" i="31"/>
  <c r="L17" i="32" s="1"/>
  <c r="L24" i="32"/>
  <c r="L23" i="32"/>
  <c r="AF18" i="14"/>
  <c r="X11" i="10"/>
  <c r="AF20" i="14" s="1"/>
  <c r="AC18" i="14"/>
  <c r="T11" i="10"/>
  <c r="AC20" i="14" s="1"/>
  <c r="AA18" i="14"/>
  <c r="R11" i="10"/>
  <c r="AA20" i="14" s="1"/>
  <c r="G3" i="27"/>
  <c r="G3" i="36"/>
  <c r="Y18" i="14"/>
  <c r="P11" i="10"/>
  <c r="Y20" i="14" s="1"/>
  <c r="AE19" i="14"/>
  <c r="X18" i="14"/>
  <c r="O11" i="10"/>
  <c r="X20" i="14" s="1"/>
  <c r="O18" i="14"/>
  <c r="E49" i="14" s="1"/>
  <c r="E10" i="10"/>
  <c r="N18" i="14"/>
  <c r="C34" i="11"/>
  <c r="L19" i="14"/>
  <c r="S19" i="14"/>
  <c r="V19" i="14"/>
  <c r="P18" i="14"/>
  <c r="D38" i="11"/>
  <c r="M15" i="14" s="1"/>
  <c r="F38" i="11"/>
  <c r="O15" i="14" s="1"/>
  <c r="E38" i="11"/>
  <c r="N15" i="14" s="1"/>
  <c r="AC6" i="11"/>
  <c r="AC41" i="11" s="1"/>
  <c r="AK18" i="14"/>
  <c r="AA6" i="11"/>
  <c r="AA41" i="11" s="1"/>
  <c r="AI18" i="14"/>
  <c r="R18" i="14"/>
  <c r="Z40" i="11"/>
  <c r="AH17" i="14" s="1"/>
  <c r="N19" i="14"/>
  <c r="Q19" i="14"/>
  <c r="C49" i="31"/>
  <c r="S18" i="14"/>
  <c r="Q18" i="14"/>
  <c r="C11" i="25"/>
  <c r="C12" i="25"/>
  <c r="V21" i="14"/>
  <c r="M34" i="11"/>
  <c r="AB36" i="11"/>
  <c r="Y36" i="11"/>
  <c r="J34" i="11"/>
  <c r="E25" i="11"/>
  <c r="E23" i="11"/>
  <c r="E21" i="11"/>
  <c r="AD36" i="11"/>
  <c r="E34" i="11"/>
  <c r="H34" i="11"/>
  <c r="W34" i="11"/>
  <c r="E24" i="11"/>
  <c r="E22" i="11"/>
  <c r="D30" i="10"/>
  <c r="D21" i="11" s="1"/>
  <c r="D138" i="10"/>
  <c r="D136" i="10"/>
  <c r="D137" i="10"/>
  <c r="D135" i="10"/>
  <c r="D139" i="10"/>
  <c r="L21" i="14"/>
  <c r="B42" i="14" s="1"/>
  <c r="W56" i="31"/>
  <c r="O56" i="31"/>
  <c r="F56" i="31"/>
  <c r="F54" i="31"/>
  <c r="O16" i="32" s="1"/>
  <c r="C56" i="31"/>
  <c r="L56" i="31"/>
  <c r="D56" i="31"/>
  <c r="D10" i="10"/>
  <c r="I10" i="10"/>
  <c r="J10" i="26"/>
  <c r="I135" i="10"/>
  <c r="I136" i="10"/>
  <c r="I139" i="10"/>
  <c r="I137" i="10"/>
  <c r="F135" i="10"/>
  <c r="F139" i="10"/>
  <c r="F136" i="10"/>
  <c r="F137" i="10"/>
  <c r="G135" i="10"/>
  <c r="G136" i="10"/>
  <c r="G139" i="10"/>
  <c r="G137" i="10"/>
  <c r="I138" i="10"/>
  <c r="F138" i="10"/>
  <c r="G138" i="10"/>
  <c r="E44" i="14"/>
  <c r="C44" i="14"/>
  <c r="AD33" i="11"/>
  <c r="AL11" i="14"/>
  <c r="AI11" i="14"/>
  <c r="AA33" i="11"/>
  <c r="AA39" i="11" s="1"/>
  <c r="M33" i="11"/>
  <c r="V11" i="14"/>
  <c r="Q33" i="11"/>
  <c r="Z11" i="14"/>
  <c r="AB33" i="11"/>
  <c r="AJ11" i="14"/>
  <c r="Z33" i="11"/>
  <c r="Z39" i="11" s="1"/>
  <c r="AH11" i="14"/>
  <c r="O33" i="11"/>
  <c r="X11" i="14"/>
  <c r="C5" i="25"/>
  <c r="C6" i="25" s="1"/>
  <c r="C7" i="26" s="1"/>
  <c r="S33" i="11"/>
  <c r="AB11" i="14"/>
  <c r="Y11" i="14"/>
  <c r="P33" i="11"/>
  <c r="AC11" i="14"/>
  <c r="T33" i="11"/>
  <c r="AA11" i="14"/>
  <c r="R33" i="11"/>
  <c r="X6" i="11"/>
  <c r="X41" i="11" s="1"/>
  <c r="N33" i="11"/>
  <c r="W11" i="14"/>
  <c r="X10" i="10"/>
  <c r="X5" i="11"/>
  <c r="AC5" i="11"/>
  <c r="AC40" i="11" s="1"/>
  <c r="AC10" i="10"/>
  <c r="AK20" i="14"/>
  <c r="AA10" i="10"/>
  <c r="AI20" i="14"/>
  <c r="AD15" i="10"/>
  <c r="AD11" i="10" s="1"/>
  <c r="B43" i="14"/>
  <c r="Y5" i="11"/>
  <c r="W5" i="11"/>
  <c r="AB15" i="10"/>
  <c r="AB11" i="10" s="1"/>
  <c r="Y15" i="10"/>
  <c r="Y11" i="10" s="1"/>
  <c r="N21" i="14"/>
  <c r="S21" i="14"/>
  <c r="Q21" i="14"/>
  <c r="D39" i="11"/>
  <c r="M16" i="14" s="1"/>
  <c r="AK22" i="14"/>
  <c r="AK23" i="14"/>
  <c r="AI22" i="14"/>
  <c r="AI23" i="14"/>
  <c r="AH22" i="14"/>
  <c r="AH23" i="14"/>
  <c r="M3" i="11"/>
  <c r="W3" i="11"/>
  <c r="R21" i="14"/>
  <c r="H44" i="14" s="1"/>
  <c r="AE21" i="14"/>
  <c r="P21" i="14"/>
  <c r="V2" i="14"/>
  <c r="AE2" i="14" s="1"/>
  <c r="O20" i="14"/>
  <c r="E38" i="14" s="1"/>
  <c r="E55" i="14" s="1"/>
  <c r="L7" i="14"/>
  <c r="L26" i="14" s="1"/>
  <c r="B44" i="14" l="1"/>
  <c r="C54" i="31"/>
  <c r="L16" i="32" s="1"/>
  <c r="F49" i="14"/>
  <c r="G47" i="14"/>
  <c r="G48" i="14"/>
  <c r="D51" i="14"/>
  <c r="D53" i="14"/>
  <c r="H48" i="14"/>
  <c r="H47" i="14"/>
  <c r="F48" i="14"/>
  <c r="F47" i="14"/>
  <c r="I51" i="14"/>
  <c r="E11" i="30"/>
  <c r="N21" i="32" s="1"/>
  <c r="D38" i="32" s="1"/>
  <c r="N19" i="32"/>
  <c r="E5" i="31"/>
  <c r="E10" i="30"/>
  <c r="AC24" i="32"/>
  <c r="AC23" i="32"/>
  <c r="X55" i="31"/>
  <c r="AB17" i="32" s="1"/>
  <c r="X56" i="31"/>
  <c r="B53" i="14"/>
  <c r="I47" i="14"/>
  <c r="I48" i="14"/>
  <c r="G51" i="14"/>
  <c r="G59" i="14" s="1"/>
  <c r="G53" i="14"/>
  <c r="B51" i="14"/>
  <c r="B52" i="14"/>
  <c r="D48" i="14"/>
  <c r="D47" i="14"/>
  <c r="E47" i="14"/>
  <c r="E48" i="14"/>
  <c r="AA24" i="32"/>
  <c r="V55" i="31"/>
  <c r="AA23" i="32"/>
  <c r="V56" i="31"/>
  <c r="V23" i="32"/>
  <c r="N56" i="31"/>
  <c r="N55" i="31"/>
  <c r="V17" i="32" s="1"/>
  <c r="V24" i="32"/>
  <c r="H49" i="14"/>
  <c r="H61" i="14" s="1"/>
  <c r="I53" i="14"/>
  <c r="B51" i="32"/>
  <c r="B52" i="32"/>
  <c r="B60" i="32" s="1"/>
  <c r="F39" i="11"/>
  <c r="O16" i="14" s="1"/>
  <c r="F61" i="14"/>
  <c r="E57" i="32"/>
  <c r="B61" i="32"/>
  <c r="B59" i="32"/>
  <c r="B44" i="32"/>
  <c r="B57" i="32" s="1"/>
  <c r="B43" i="32"/>
  <c r="B56" i="32" s="1"/>
  <c r="B42" i="32"/>
  <c r="B55" i="32" s="1"/>
  <c r="X40" i="11"/>
  <c r="AF17" i="14" s="1"/>
  <c r="AG18" i="14"/>
  <c r="D49" i="14" s="1"/>
  <c r="AA40" i="11"/>
  <c r="AI17" i="14" s="1"/>
  <c r="AJ18" i="14"/>
  <c r="G49" i="14" s="1"/>
  <c r="AL18" i="14"/>
  <c r="I49" i="14" s="1"/>
  <c r="M18" i="14"/>
  <c r="C114" i="26"/>
  <c r="C115" i="26"/>
  <c r="C116" i="26"/>
  <c r="C117" i="26"/>
  <c r="C118" i="26"/>
  <c r="C119" i="26"/>
  <c r="C120" i="26"/>
  <c r="C121" i="26"/>
  <c r="C122" i="26"/>
  <c r="C123" i="26"/>
  <c r="E59" i="14"/>
  <c r="E61" i="14"/>
  <c r="AL20" i="14"/>
  <c r="D59" i="14"/>
  <c r="I59" i="14"/>
  <c r="F59" i="14"/>
  <c r="H59" i="14"/>
  <c r="C31" i="27"/>
  <c r="AF22" i="14"/>
  <c r="Y10" i="10"/>
  <c r="AF23" i="14"/>
  <c r="T24" i="14"/>
  <c r="AK11" i="14"/>
  <c r="AC33" i="11"/>
  <c r="AC39" i="11" s="1"/>
  <c r="AK17" i="14"/>
  <c r="AE11" i="14"/>
  <c r="W33" i="11"/>
  <c r="AG11" i="14"/>
  <c r="Y33" i="11"/>
  <c r="Y39" i="11" s="1"/>
  <c r="C7" i="25"/>
  <c r="C6" i="26"/>
  <c r="X33" i="11"/>
  <c r="X39" i="11" s="1"/>
  <c r="AF11" i="14"/>
  <c r="AD6" i="11"/>
  <c r="AD10" i="10"/>
  <c r="AB6" i="11"/>
  <c r="AJ20" i="14"/>
  <c r="Y6" i="11"/>
  <c r="Y41" i="11" s="1"/>
  <c r="AG20" i="14"/>
  <c r="AB10" i="10"/>
  <c r="G42" i="14"/>
  <c r="AG13" i="14"/>
  <c r="AJ13" i="14"/>
  <c r="AB39" i="11"/>
  <c r="G44" i="14"/>
  <c r="I42" i="14"/>
  <c r="D42" i="14"/>
  <c r="AL13" i="14"/>
  <c r="AD39" i="11"/>
  <c r="D44" i="14"/>
  <c r="F44" i="14"/>
  <c r="I44" i="14"/>
  <c r="J39" i="11"/>
  <c r="S16" i="14" s="1"/>
  <c r="E39" i="11"/>
  <c r="N16" i="14" s="1"/>
  <c r="H39" i="11"/>
  <c r="Q16" i="14" s="1"/>
  <c r="G39" i="11"/>
  <c r="P16" i="14" s="1"/>
  <c r="I39" i="11"/>
  <c r="R16" i="14" s="1"/>
  <c r="Y7" i="11"/>
  <c r="AD7" i="11"/>
  <c r="AB7" i="11"/>
  <c r="F42" i="14"/>
  <c r="H42" i="14"/>
  <c r="E39" i="14"/>
  <c r="E40" i="14"/>
  <c r="E57" i="14" s="1"/>
  <c r="M20" i="14"/>
  <c r="C38" i="14" s="1"/>
  <c r="C55" i="14" s="1"/>
  <c r="Q20" i="14"/>
  <c r="G38" i="14" s="1"/>
  <c r="D48" i="32" l="1"/>
  <c r="D60" i="32" s="1"/>
  <c r="D49" i="32"/>
  <c r="D61" i="32" s="1"/>
  <c r="D47" i="32"/>
  <c r="D59" i="32" s="1"/>
  <c r="C47" i="14"/>
  <c r="C59" i="14" s="1"/>
  <c r="C48" i="14"/>
  <c r="E56" i="31"/>
  <c r="N24" i="32"/>
  <c r="E55" i="31"/>
  <c r="N17" i="32" s="1"/>
  <c r="N23" i="32"/>
  <c r="D39" i="32"/>
  <c r="D56" i="32" s="1"/>
  <c r="D55" i="32"/>
  <c r="D40" i="32"/>
  <c r="D57" i="32" s="1"/>
  <c r="C49" i="14"/>
  <c r="C61" i="14"/>
  <c r="F12" i="27"/>
  <c r="D61" i="14"/>
  <c r="I61" i="14"/>
  <c r="G61" i="14"/>
  <c r="C86" i="26"/>
  <c r="C87" i="26"/>
  <c r="C88" i="26"/>
  <c r="C89" i="26"/>
  <c r="C90" i="26"/>
  <c r="C91" i="26"/>
  <c r="C92" i="26"/>
  <c r="C93" i="26"/>
  <c r="C94" i="26"/>
  <c r="C95" i="26"/>
  <c r="AB41" i="11"/>
  <c r="AD41" i="11"/>
  <c r="C9" i="25"/>
  <c r="C10" i="25" s="1"/>
  <c r="G55" i="14"/>
  <c r="AL22" i="14"/>
  <c r="AJ23" i="14"/>
  <c r="T11" i="14"/>
  <c r="C14" i="25"/>
  <c r="C111" i="26"/>
  <c r="C112" i="26"/>
  <c r="C113" i="26"/>
  <c r="C108" i="26"/>
  <c r="C109" i="26"/>
  <c r="C106" i="26"/>
  <c r="C99" i="26"/>
  <c r="C107" i="26"/>
  <c r="C104" i="26"/>
  <c r="C105" i="26"/>
  <c r="C100" i="26"/>
  <c r="C101" i="26"/>
  <c r="C102" i="26"/>
  <c r="C110" i="26"/>
  <c r="C103" i="26"/>
  <c r="AG22" i="14"/>
  <c r="AL23" i="14"/>
  <c r="AG23" i="14"/>
  <c r="AJ22" i="14"/>
  <c r="AB8" i="11"/>
  <c r="AD8" i="11"/>
  <c r="Y8" i="11"/>
  <c r="G39" i="14"/>
  <c r="G40" i="14"/>
  <c r="G57" i="14" s="1"/>
  <c r="C39" i="14"/>
  <c r="C40" i="14"/>
  <c r="C57" i="14" s="1"/>
  <c r="R20" i="14"/>
  <c r="H38" i="14" s="1"/>
  <c r="H55" i="14" s="1"/>
  <c r="P20" i="14"/>
  <c r="F38" i="14" s="1"/>
  <c r="F55" i="14" s="1"/>
  <c r="C17" i="25" l="1"/>
  <c r="C19" i="25"/>
  <c r="C21" i="25"/>
  <c r="C23" i="25"/>
  <c r="C25" i="25"/>
  <c r="C27" i="25"/>
  <c r="C29" i="25"/>
  <c r="C31" i="25"/>
  <c r="C33" i="25"/>
  <c r="C16" i="25"/>
  <c r="C18" i="25"/>
  <c r="C20" i="25"/>
  <c r="C22" i="25"/>
  <c r="C24" i="25"/>
  <c r="C26" i="25"/>
  <c r="C28" i="25"/>
  <c r="C30" i="25"/>
  <c r="C32" i="25"/>
  <c r="C34" i="25"/>
  <c r="C15" i="25"/>
  <c r="F17" i="27"/>
  <c r="T12" i="14"/>
  <c r="C5" i="27"/>
  <c r="Y9" i="11"/>
  <c r="AD9" i="11"/>
  <c r="AB9" i="11"/>
  <c r="F39" i="14"/>
  <c r="F40" i="14"/>
  <c r="F57" i="14" s="1"/>
  <c r="H39" i="14"/>
  <c r="H40" i="14"/>
  <c r="H57" i="14" s="1"/>
  <c r="S20" i="14"/>
  <c r="I38" i="14" s="1"/>
  <c r="I55" i="14" s="1"/>
  <c r="P12" i="12"/>
  <c r="R12" i="12"/>
  <c r="N20" i="14"/>
  <c r="D38" i="14" s="1"/>
  <c r="D55" i="14" s="1"/>
  <c r="T15" i="14" l="1"/>
  <c r="P15" i="32"/>
  <c r="F25" i="27"/>
  <c r="F13" i="27"/>
  <c r="F27" i="27"/>
  <c r="J51" i="14" s="1"/>
  <c r="Y12" i="14"/>
  <c r="P32" i="12"/>
  <c r="P21" i="11" s="1"/>
  <c r="P33" i="12"/>
  <c r="P22" i="11" s="1"/>
  <c r="P34" i="12"/>
  <c r="P23" i="11" s="1"/>
  <c r="P35" i="12"/>
  <c r="P24" i="11" s="1"/>
  <c r="P36" i="12"/>
  <c r="P25" i="11" s="1"/>
  <c r="AA12" i="14"/>
  <c r="R32" i="12"/>
  <c r="R21" i="11" s="1"/>
  <c r="R33" i="12"/>
  <c r="R22" i="11" s="1"/>
  <c r="R34" i="12"/>
  <c r="R23" i="11" s="1"/>
  <c r="R35" i="12"/>
  <c r="R24" i="11" s="1"/>
  <c r="R36" i="12"/>
  <c r="R25" i="11" s="1"/>
  <c r="R23" i="12"/>
  <c r="R12" i="11" s="1"/>
  <c r="R25" i="12"/>
  <c r="R14" i="11" s="1"/>
  <c r="R27" i="12"/>
  <c r="R16" i="11" s="1"/>
  <c r="R29" i="12"/>
  <c r="R18" i="11" s="1"/>
  <c r="R31" i="12"/>
  <c r="R22" i="12"/>
  <c r="R11" i="11" s="1"/>
  <c r="R24" i="12"/>
  <c r="R13" i="11" s="1"/>
  <c r="R26" i="12"/>
  <c r="R15" i="11" s="1"/>
  <c r="R28" i="12"/>
  <c r="R17" i="11" s="1"/>
  <c r="R30" i="12"/>
  <c r="R19" i="11" s="1"/>
  <c r="P23" i="12"/>
  <c r="P12" i="11" s="1"/>
  <c r="P25" i="12"/>
  <c r="P14" i="11" s="1"/>
  <c r="P27" i="12"/>
  <c r="P16" i="11" s="1"/>
  <c r="P29" i="12"/>
  <c r="P18" i="11" s="1"/>
  <c r="P31" i="12"/>
  <c r="P20" i="11" s="1"/>
  <c r="P22" i="12"/>
  <c r="P11" i="11" s="1"/>
  <c r="P24" i="12"/>
  <c r="P13" i="11" s="1"/>
  <c r="P26" i="12"/>
  <c r="P15" i="11" s="1"/>
  <c r="P28" i="12"/>
  <c r="P17" i="11" s="1"/>
  <c r="P30" i="12"/>
  <c r="P19" i="11" s="1"/>
  <c r="P17" i="12"/>
  <c r="P19" i="12"/>
  <c r="P8" i="11" s="1"/>
  <c r="P21" i="12"/>
  <c r="P10" i="11" s="1"/>
  <c r="P18" i="12"/>
  <c r="P7" i="11" s="1"/>
  <c r="P20" i="12"/>
  <c r="P9" i="11" s="1"/>
  <c r="R17" i="12"/>
  <c r="R19" i="12"/>
  <c r="R8" i="11" s="1"/>
  <c r="R21" i="12"/>
  <c r="R10" i="11" s="1"/>
  <c r="R18" i="12"/>
  <c r="R7" i="11" s="1"/>
  <c r="R20" i="12"/>
  <c r="R9" i="11" s="1"/>
  <c r="AD10" i="11"/>
  <c r="Y10" i="11"/>
  <c r="AB10" i="11"/>
  <c r="D39" i="14"/>
  <c r="D40" i="14"/>
  <c r="D57" i="14" s="1"/>
  <c r="I39" i="14"/>
  <c r="I40" i="14"/>
  <c r="I57" i="14" s="1"/>
  <c r="R20" i="11"/>
  <c r="H16" i="11"/>
  <c r="H17" i="11"/>
  <c r="H18" i="11"/>
  <c r="H19" i="11"/>
  <c r="H20" i="11"/>
  <c r="H7" i="11"/>
  <c r="H8" i="11"/>
  <c r="H9" i="11"/>
  <c r="H10" i="11"/>
  <c r="H11" i="11"/>
  <c r="H12" i="11"/>
  <c r="H13" i="11"/>
  <c r="H14" i="11"/>
  <c r="H15" i="11"/>
  <c r="H6" i="11"/>
  <c r="F16" i="11"/>
  <c r="F17" i="11"/>
  <c r="F18" i="11"/>
  <c r="F19" i="11"/>
  <c r="F20" i="11"/>
  <c r="F7" i="11"/>
  <c r="F8" i="11"/>
  <c r="F9" i="11"/>
  <c r="F10" i="11"/>
  <c r="F11" i="11"/>
  <c r="F12" i="11"/>
  <c r="F13" i="11"/>
  <c r="F14" i="11"/>
  <c r="F15" i="11"/>
  <c r="F6" i="11"/>
  <c r="N12" i="12"/>
  <c r="S12" i="12"/>
  <c r="T21" i="14" l="1"/>
  <c r="AA19" i="14"/>
  <c r="G52" i="14" s="1"/>
  <c r="Y19" i="14"/>
  <c r="E52" i="14" s="1"/>
  <c r="O22" i="14"/>
  <c r="F40" i="11"/>
  <c r="R34" i="11"/>
  <c r="R39" i="11" s="1"/>
  <c r="H40" i="11"/>
  <c r="Q17" i="14" s="1"/>
  <c r="P34" i="11"/>
  <c r="P39" i="11" s="1"/>
  <c r="AB12" i="14"/>
  <c r="S32" i="12"/>
  <c r="S21" i="11" s="1"/>
  <c r="S33" i="12"/>
  <c r="S22" i="11" s="1"/>
  <c r="S34" i="12"/>
  <c r="S23" i="11" s="1"/>
  <c r="S35" i="12"/>
  <c r="S24" i="11" s="1"/>
  <c r="S36" i="12"/>
  <c r="S25" i="11" s="1"/>
  <c r="W12" i="14"/>
  <c r="N32" i="12"/>
  <c r="N21" i="11" s="1"/>
  <c r="N33" i="12"/>
  <c r="N22" i="11" s="1"/>
  <c r="N34" i="12"/>
  <c r="N23" i="11" s="1"/>
  <c r="N35" i="12"/>
  <c r="N24" i="11" s="1"/>
  <c r="N36" i="12"/>
  <c r="N25" i="11" s="1"/>
  <c r="T19" i="14"/>
  <c r="S22" i="12"/>
  <c r="S11" i="11" s="1"/>
  <c r="S24" i="12"/>
  <c r="S13" i="11" s="1"/>
  <c r="S26" i="12"/>
  <c r="S15" i="11" s="1"/>
  <c r="S28" i="12"/>
  <c r="S17" i="11" s="1"/>
  <c r="S30" i="12"/>
  <c r="S19" i="11" s="1"/>
  <c r="S23" i="12"/>
  <c r="S12" i="11" s="1"/>
  <c r="S25" i="12"/>
  <c r="S14" i="11" s="1"/>
  <c r="S27" i="12"/>
  <c r="S16" i="11" s="1"/>
  <c r="S29" i="12"/>
  <c r="S18" i="11" s="1"/>
  <c r="S31" i="12"/>
  <c r="S20" i="11" s="1"/>
  <c r="N23" i="12"/>
  <c r="N12" i="11" s="1"/>
  <c r="N25" i="12"/>
  <c r="N14" i="11" s="1"/>
  <c r="N27" i="12"/>
  <c r="N16" i="11" s="1"/>
  <c r="N29" i="12"/>
  <c r="N18" i="11" s="1"/>
  <c r="N31" i="12"/>
  <c r="N20" i="11" s="1"/>
  <c r="N22" i="12"/>
  <c r="N11" i="11" s="1"/>
  <c r="N24" i="12"/>
  <c r="N13" i="11" s="1"/>
  <c r="N26" i="12"/>
  <c r="N28" i="12"/>
  <c r="N17" i="11" s="1"/>
  <c r="N30" i="12"/>
  <c r="N19" i="11" s="1"/>
  <c r="J42" i="14"/>
  <c r="N17" i="12"/>
  <c r="N19" i="12"/>
  <c r="N8" i="11" s="1"/>
  <c r="N21" i="12"/>
  <c r="N10" i="11" s="1"/>
  <c r="N18" i="12"/>
  <c r="N7" i="11" s="1"/>
  <c r="N20" i="12"/>
  <c r="N9" i="11" s="1"/>
  <c r="S18" i="12"/>
  <c r="S7" i="11" s="1"/>
  <c r="S20" i="12"/>
  <c r="S9" i="11" s="1"/>
  <c r="S17" i="12"/>
  <c r="S19" i="12"/>
  <c r="S8" i="11" s="1"/>
  <c r="S21" i="12"/>
  <c r="S10" i="11" s="1"/>
  <c r="O17" i="14"/>
  <c r="Q23" i="14"/>
  <c r="H41" i="11"/>
  <c r="O23" i="14"/>
  <c r="F41" i="11"/>
  <c r="Q22" i="14"/>
  <c r="Y11" i="11"/>
  <c r="AD11" i="11"/>
  <c r="AB11" i="11"/>
  <c r="R6" i="11"/>
  <c r="AA21" i="14"/>
  <c r="G43" i="14" s="1"/>
  <c r="G56" i="14" s="1"/>
  <c r="P6" i="11"/>
  <c r="Y21" i="14"/>
  <c r="E43" i="14" s="1"/>
  <c r="E56" i="14" s="1"/>
  <c r="N15" i="11"/>
  <c r="D16" i="11"/>
  <c r="D17" i="11"/>
  <c r="D18" i="11"/>
  <c r="D19" i="11"/>
  <c r="D20" i="11"/>
  <c r="D7" i="11"/>
  <c r="D8" i="11"/>
  <c r="D9" i="11"/>
  <c r="D10" i="11"/>
  <c r="D11" i="11"/>
  <c r="D12" i="11"/>
  <c r="D13" i="11"/>
  <c r="D14" i="11"/>
  <c r="D15" i="11"/>
  <c r="D6" i="11"/>
  <c r="I6" i="11"/>
  <c r="I16" i="11"/>
  <c r="I17" i="11"/>
  <c r="I18" i="11"/>
  <c r="I19" i="11"/>
  <c r="I20" i="11"/>
  <c r="I7" i="11"/>
  <c r="I8" i="11"/>
  <c r="I9" i="11"/>
  <c r="I10" i="11"/>
  <c r="I11" i="11"/>
  <c r="I12" i="11"/>
  <c r="I13" i="11"/>
  <c r="I14" i="11"/>
  <c r="I15" i="11"/>
  <c r="T12" i="12"/>
  <c r="Q12" i="12"/>
  <c r="D40" i="11" l="1"/>
  <c r="M17" i="14" s="1"/>
  <c r="AB19" i="14"/>
  <c r="H52" i="14" s="1"/>
  <c r="W19" i="14"/>
  <c r="C52" i="14" s="1"/>
  <c r="P41" i="11"/>
  <c r="P40" i="11"/>
  <c r="Y17" i="14" s="1"/>
  <c r="R41" i="11"/>
  <c r="R40" i="11"/>
  <c r="S34" i="11"/>
  <c r="I40" i="11"/>
  <c r="N34" i="11"/>
  <c r="Z12" i="14"/>
  <c r="Q32" i="12"/>
  <c r="Q21" i="11" s="1"/>
  <c r="Q33" i="12"/>
  <c r="Q22" i="11" s="1"/>
  <c r="Q34" i="12"/>
  <c r="Q23" i="11" s="1"/>
  <c r="Q35" i="12"/>
  <c r="Q24" i="11" s="1"/>
  <c r="Q36" i="12"/>
  <c r="Q25" i="11" s="1"/>
  <c r="AC12" i="14"/>
  <c r="T32" i="12"/>
  <c r="T21" i="11" s="1"/>
  <c r="T33" i="12"/>
  <c r="T22" i="11" s="1"/>
  <c r="T34" i="12"/>
  <c r="T23" i="11" s="1"/>
  <c r="T35" i="12"/>
  <c r="T24" i="11" s="1"/>
  <c r="T36" i="12"/>
  <c r="T25" i="11" s="1"/>
  <c r="G60" i="14"/>
  <c r="E60" i="14"/>
  <c r="Q22" i="12"/>
  <c r="Q11" i="11" s="1"/>
  <c r="Q24" i="12"/>
  <c r="Q13" i="11" s="1"/>
  <c r="Q26" i="12"/>
  <c r="Q15" i="11" s="1"/>
  <c r="Q28" i="12"/>
  <c r="Q17" i="11" s="1"/>
  <c r="Q30" i="12"/>
  <c r="Q19" i="11" s="1"/>
  <c r="Q23" i="12"/>
  <c r="Q12" i="11" s="1"/>
  <c r="Q25" i="12"/>
  <c r="Q14" i="11" s="1"/>
  <c r="Q27" i="12"/>
  <c r="Q16" i="11" s="1"/>
  <c r="Q29" i="12"/>
  <c r="Q18" i="11" s="1"/>
  <c r="Q31" i="12"/>
  <c r="Q20" i="11" s="1"/>
  <c r="T23" i="12"/>
  <c r="T12" i="11" s="1"/>
  <c r="T25" i="12"/>
  <c r="T14" i="11" s="1"/>
  <c r="T27" i="12"/>
  <c r="T16" i="11" s="1"/>
  <c r="T29" i="12"/>
  <c r="T18" i="11" s="1"/>
  <c r="T31" i="12"/>
  <c r="T20" i="11" s="1"/>
  <c r="T22" i="12"/>
  <c r="T11" i="11" s="1"/>
  <c r="T24" i="12"/>
  <c r="T13" i="11" s="1"/>
  <c r="T26" i="12"/>
  <c r="T15" i="11" s="1"/>
  <c r="T28" i="12"/>
  <c r="T17" i="11" s="1"/>
  <c r="T30" i="12"/>
  <c r="T19" i="11" s="1"/>
  <c r="Q18" i="12"/>
  <c r="Q7" i="11" s="1"/>
  <c r="Q20" i="12"/>
  <c r="Q9" i="11" s="1"/>
  <c r="Q17" i="12"/>
  <c r="Q19" i="12"/>
  <c r="Q8" i="11" s="1"/>
  <c r="Q21" i="12"/>
  <c r="Q10" i="11" s="1"/>
  <c r="T17" i="12"/>
  <c r="T19" i="12"/>
  <c r="T8" i="11" s="1"/>
  <c r="T21" i="12"/>
  <c r="T10" i="11" s="1"/>
  <c r="T18" i="12"/>
  <c r="T7" i="11" s="1"/>
  <c r="T20" i="12"/>
  <c r="T9" i="11" s="1"/>
  <c r="AA17" i="14"/>
  <c r="R17" i="14"/>
  <c r="S39" i="11"/>
  <c r="M23" i="14"/>
  <c r="D41" i="11"/>
  <c r="R23" i="14"/>
  <c r="I41" i="11"/>
  <c r="AA22" i="14"/>
  <c r="AA23" i="14"/>
  <c r="Y22" i="14"/>
  <c r="Y23" i="14"/>
  <c r="R22" i="14"/>
  <c r="M22" i="14"/>
  <c r="AB12" i="11"/>
  <c r="Y12" i="11"/>
  <c r="AD12" i="11"/>
  <c r="S6" i="11"/>
  <c r="AB21" i="14"/>
  <c r="H43" i="14" s="1"/>
  <c r="H56" i="14" s="1"/>
  <c r="N6" i="11"/>
  <c r="W21" i="14"/>
  <c r="C43" i="14" s="1"/>
  <c r="C56" i="14" s="1"/>
  <c r="G6" i="11"/>
  <c r="G16" i="11"/>
  <c r="G17" i="11"/>
  <c r="G18" i="11"/>
  <c r="G19" i="11"/>
  <c r="G20" i="11"/>
  <c r="G7" i="11"/>
  <c r="G8" i="11"/>
  <c r="G9" i="11"/>
  <c r="G10" i="11"/>
  <c r="G11" i="11"/>
  <c r="G12" i="11"/>
  <c r="G13" i="11"/>
  <c r="G14" i="11"/>
  <c r="G15" i="11"/>
  <c r="J16" i="11"/>
  <c r="J17" i="11"/>
  <c r="J18" i="11"/>
  <c r="J19" i="11"/>
  <c r="J20" i="11"/>
  <c r="J7" i="11"/>
  <c r="J8" i="11"/>
  <c r="J9" i="11"/>
  <c r="J10" i="11"/>
  <c r="J11" i="11"/>
  <c r="J12" i="11"/>
  <c r="J13" i="11"/>
  <c r="J14" i="11"/>
  <c r="J15" i="11"/>
  <c r="J6" i="11"/>
  <c r="O12" i="12"/>
  <c r="Z19" i="14" l="1"/>
  <c r="F52" i="14" s="1"/>
  <c r="J40" i="11"/>
  <c r="AC19" i="14"/>
  <c r="I52" i="14" s="1"/>
  <c r="N41" i="11"/>
  <c r="N40" i="11"/>
  <c r="S41" i="11"/>
  <c r="S40" i="11"/>
  <c r="AB17" i="14" s="1"/>
  <c r="T34" i="11"/>
  <c r="G40" i="11"/>
  <c r="Q34" i="11"/>
  <c r="X12" i="14"/>
  <c r="O32" i="12"/>
  <c r="O21" i="11" s="1"/>
  <c r="O33" i="12"/>
  <c r="O22" i="11" s="1"/>
  <c r="O34" i="12"/>
  <c r="O23" i="11" s="1"/>
  <c r="O35" i="12"/>
  <c r="O24" i="11" s="1"/>
  <c r="O36" i="12"/>
  <c r="O25" i="11" s="1"/>
  <c r="H60" i="14"/>
  <c r="C60" i="14"/>
  <c r="O22" i="12"/>
  <c r="O11" i="11" s="1"/>
  <c r="O24" i="12"/>
  <c r="O13" i="11" s="1"/>
  <c r="O26" i="12"/>
  <c r="O15" i="11" s="1"/>
  <c r="O28" i="12"/>
  <c r="O17" i="11" s="1"/>
  <c r="O30" i="12"/>
  <c r="O19" i="11" s="1"/>
  <c r="O23" i="12"/>
  <c r="O12" i="11" s="1"/>
  <c r="O25" i="12"/>
  <c r="O14" i="11" s="1"/>
  <c r="O27" i="12"/>
  <c r="O16" i="11" s="1"/>
  <c r="O29" i="12"/>
  <c r="O18" i="11" s="1"/>
  <c r="O31" i="12"/>
  <c r="O20" i="11" s="1"/>
  <c r="O18" i="12"/>
  <c r="O7" i="11" s="1"/>
  <c r="O20" i="12"/>
  <c r="O9" i="11" s="1"/>
  <c r="O17" i="12"/>
  <c r="O19" i="12"/>
  <c r="O8" i="11" s="1"/>
  <c r="O21" i="12"/>
  <c r="O10" i="11" s="1"/>
  <c r="S17" i="14"/>
  <c r="P17" i="14"/>
  <c r="N39" i="11"/>
  <c r="W17" i="14"/>
  <c r="S23" i="14"/>
  <c r="J41" i="11"/>
  <c r="P23" i="14"/>
  <c r="G41" i="11"/>
  <c r="W23" i="14"/>
  <c r="W22" i="14"/>
  <c r="AB22" i="14"/>
  <c r="AB23" i="14"/>
  <c r="S22" i="14"/>
  <c r="P22" i="14"/>
  <c r="AB13" i="11"/>
  <c r="AD13" i="11"/>
  <c r="Y13" i="11"/>
  <c r="T6" i="11"/>
  <c r="AC21" i="14"/>
  <c r="I43" i="14" s="1"/>
  <c r="I56" i="14" s="1"/>
  <c r="Q6" i="11"/>
  <c r="Z21" i="14"/>
  <c r="F43" i="14" s="1"/>
  <c r="F56" i="14" s="1"/>
  <c r="E6" i="11"/>
  <c r="E16" i="11"/>
  <c r="E17" i="11"/>
  <c r="E18" i="11"/>
  <c r="E19" i="11"/>
  <c r="E20" i="11"/>
  <c r="E7" i="11"/>
  <c r="E8" i="11"/>
  <c r="E9" i="11"/>
  <c r="E10" i="11"/>
  <c r="E11" i="11"/>
  <c r="E12" i="11"/>
  <c r="E13" i="11"/>
  <c r="E14" i="11"/>
  <c r="E15" i="11"/>
  <c r="X19" i="14" l="1"/>
  <c r="D52" i="14" s="1"/>
  <c r="Q41" i="11"/>
  <c r="Q40" i="11"/>
  <c r="Z17" i="14" s="1"/>
  <c r="T41" i="11"/>
  <c r="T40" i="11"/>
  <c r="AC17" i="14" s="1"/>
  <c r="E40" i="11"/>
  <c r="N17" i="14" s="1"/>
  <c r="O34" i="11"/>
  <c r="I60" i="14"/>
  <c r="F60" i="14"/>
  <c r="T39" i="11"/>
  <c r="Q39" i="11"/>
  <c r="N23" i="14"/>
  <c r="E41" i="11"/>
  <c r="AC22" i="14"/>
  <c r="AC23" i="14"/>
  <c r="Z22" i="14"/>
  <c r="Z23" i="14"/>
  <c r="N22" i="14"/>
  <c r="AD14" i="11"/>
  <c r="AB14" i="11"/>
  <c r="Y14" i="11"/>
  <c r="O6" i="11"/>
  <c r="X21" i="14"/>
  <c r="D43" i="14" s="1"/>
  <c r="D56" i="14" s="1"/>
  <c r="O41" i="11" l="1"/>
  <c r="O40" i="11"/>
  <c r="X17" i="14" s="1"/>
  <c r="D60" i="14"/>
  <c r="O39" i="11"/>
  <c r="X22" i="14"/>
  <c r="X23" i="14"/>
  <c r="Y15" i="11"/>
  <c r="AB15" i="11"/>
  <c r="AD15" i="11"/>
  <c r="AD16" i="11" l="1"/>
  <c r="AB16" i="11"/>
  <c r="Y16" i="11"/>
  <c r="Y17" i="11" l="1"/>
  <c r="AB17" i="11"/>
  <c r="AD17" i="11"/>
  <c r="AD18" i="11" l="1"/>
  <c r="AB18" i="11"/>
  <c r="Y18" i="11"/>
  <c r="Y19" i="11" l="1"/>
  <c r="AB19" i="11"/>
  <c r="AD19" i="11"/>
  <c r="AD20" i="11" l="1"/>
  <c r="AD40" i="11" s="1"/>
  <c r="AB20" i="11"/>
  <c r="AB40" i="11" s="1"/>
  <c r="Y20" i="11"/>
  <c r="Y40" i="11" s="1"/>
  <c r="AJ17" i="14" l="1"/>
  <c r="AG17" i="14"/>
  <c r="AL17" i="14"/>
  <c r="C15" i="15" l="1"/>
  <c r="C52" i="15" s="1"/>
  <c r="C53" i="15" l="1"/>
  <c r="C40" i="15" s="1"/>
  <c r="W5" i="10" s="1"/>
  <c r="C39" i="15"/>
  <c r="C83" i="35" l="1"/>
  <c r="C85" i="35"/>
  <c r="C87" i="35"/>
  <c r="C89" i="35"/>
  <c r="C91" i="35"/>
  <c r="C93" i="35"/>
  <c r="C95" i="35"/>
  <c r="C97" i="35"/>
  <c r="C81" i="35"/>
  <c r="C79" i="35"/>
  <c r="C77" i="35"/>
  <c r="C75" i="35"/>
  <c r="C73" i="35"/>
  <c r="C71" i="35"/>
  <c r="C69" i="35"/>
  <c r="C67" i="35"/>
  <c r="C65" i="35"/>
  <c r="C63" i="35"/>
  <c r="C61" i="35"/>
  <c r="C59" i="35"/>
  <c r="C84" i="35"/>
  <c r="C86" i="35"/>
  <c r="C88" i="35"/>
  <c r="C90" i="35"/>
  <c r="C92" i="35"/>
  <c r="C94" i="35"/>
  <c r="C96" i="35"/>
  <c r="C82" i="35"/>
  <c r="C80" i="35"/>
  <c r="C78" i="35"/>
  <c r="C76" i="35"/>
  <c r="C74" i="35"/>
  <c r="C72" i="35"/>
  <c r="C70" i="35"/>
  <c r="C68" i="35"/>
  <c r="C66" i="35"/>
  <c r="C64" i="35"/>
  <c r="C62" i="35"/>
  <c r="C60" i="35"/>
  <c r="C58" i="35"/>
  <c r="W57" i="10"/>
  <c r="W30" i="10" s="1"/>
  <c r="W21" i="11" s="1"/>
  <c r="W58" i="10"/>
  <c r="W31" i="10" s="1"/>
  <c r="W22" i="11" s="1"/>
  <c r="W59" i="10"/>
  <c r="W32" i="10" s="1"/>
  <c r="W23" i="11" s="1"/>
  <c r="W60" i="10"/>
  <c r="W33" i="10" s="1"/>
  <c r="W24" i="11" s="1"/>
  <c r="W61" i="10"/>
  <c r="W34" i="10" s="1"/>
  <c r="W25" i="11" s="1"/>
  <c r="W62" i="10"/>
  <c r="W35" i="10" s="1"/>
  <c r="W26" i="11" s="1"/>
  <c r="W63" i="10"/>
  <c r="W36" i="10" s="1"/>
  <c r="W27" i="11" s="1"/>
  <c r="W64" i="10"/>
  <c r="W37" i="10" s="1"/>
  <c r="W28" i="11" s="1"/>
  <c r="W65" i="10"/>
  <c r="W38" i="10" s="1"/>
  <c r="W29" i="11" s="1"/>
  <c r="W66" i="10"/>
  <c r="W39" i="10" s="1"/>
  <c r="W30" i="11" s="1"/>
  <c r="C47" i="15"/>
  <c r="C46" i="15"/>
  <c r="M5" i="10"/>
  <c r="C5" i="26"/>
  <c r="C67" i="26" s="1"/>
  <c r="C39" i="26" s="1"/>
  <c r="C30" i="27" s="1"/>
  <c r="C5" i="10"/>
  <c r="W9" i="10"/>
  <c r="W44" i="10"/>
  <c r="W17" i="10" s="1"/>
  <c r="W8" i="11" s="1"/>
  <c r="W45" i="10"/>
  <c r="W18" i="10" s="1"/>
  <c r="W9" i="11" s="1"/>
  <c r="W47" i="10"/>
  <c r="W20" i="10" s="1"/>
  <c r="W11" i="11" s="1"/>
  <c r="W50" i="10"/>
  <c r="W23" i="10" s="1"/>
  <c r="W14" i="11" s="1"/>
  <c r="W49" i="10"/>
  <c r="W22" i="10" s="1"/>
  <c r="W13" i="11" s="1"/>
  <c r="W46" i="10"/>
  <c r="W19" i="10" s="1"/>
  <c r="W10" i="11" s="1"/>
  <c r="W54" i="10"/>
  <c r="W27" i="10" s="1"/>
  <c r="W18" i="11" s="1"/>
  <c r="W53" i="10"/>
  <c r="W26" i="10" s="1"/>
  <c r="W17" i="11" s="1"/>
  <c r="W51" i="10"/>
  <c r="W24" i="10" s="1"/>
  <c r="W15" i="11" s="1"/>
  <c r="W52" i="10"/>
  <c r="W25" i="10" s="1"/>
  <c r="W16" i="11" s="1"/>
  <c r="W55" i="10"/>
  <c r="W28" i="10" s="1"/>
  <c r="W19" i="11" s="1"/>
  <c r="W43" i="10"/>
  <c r="W16" i="10" s="1"/>
  <c r="W7" i="11" s="1"/>
  <c r="W48" i="10"/>
  <c r="W21" i="10" s="1"/>
  <c r="W12" i="11" s="1"/>
  <c r="W56" i="10"/>
  <c r="W29" i="10" s="1"/>
  <c r="W20" i="11" s="1"/>
  <c r="W42" i="10"/>
  <c r="F15" i="36" l="1"/>
  <c r="W36" i="11"/>
  <c r="C58" i="26"/>
  <c r="C30" i="26" s="1"/>
  <c r="C21" i="27" s="1"/>
  <c r="C59" i="26"/>
  <c r="C31" i="26" s="1"/>
  <c r="C22" i="27" s="1"/>
  <c r="C60" i="26"/>
  <c r="C32" i="26" s="1"/>
  <c r="C23" i="27" s="1"/>
  <c r="C61" i="26"/>
  <c r="C33" i="26" s="1"/>
  <c r="C24" i="27" s="1"/>
  <c r="C62" i="26"/>
  <c r="C34" i="26" s="1"/>
  <c r="C25" i="27" s="1"/>
  <c r="C63" i="26"/>
  <c r="C35" i="26" s="1"/>
  <c r="C26" i="27" s="1"/>
  <c r="C64" i="26"/>
  <c r="C36" i="26" s="1"/>
  <c r="C27" i="27" s="1"/>
  <c r="C65" i="26"/>
  <c r="C37" i="26" s="1"/>
  <c r="C28" i="27" s="1"/>
  <c r="C66" i="26"/>
  <c r="C38" i="26" s="1"/>
  <c r="C29" i="27" s="1"/>
  <c r="C48" i="10"/>
  <c r="C21" i="10" s="1"/>
  <c r="C12" i="11" s="1"/>
  <c r="C57" i="10"/>
  <c r="C30" i="10" s="1"/>
  <c r="C21" i="11" s="1"/>
  <c r="C58" i="10"/>
  <c r="C31" i="10" s="1"/>
  <c r="C22" i="11" s="1"/>
  <c r="C59" i="10"/>
  <c r="C32" i="10" s="1"/>
  <c r="C23" i="11" s="1"/>
  <c r="C60" i="10"/>
  <c r="C33" i="10" s="1"/>
  <c r="C24" i="11" s="1"/>
  <c r="C61" i="10"/>
  <c r="C34" i="10" s="1"/>
  <c r="C25" i="11" s="1"/>
  <c r="C62" i="10"/>
  <c r="C35" i="10" s="1"/>
  <c r="C26" i="11" s="1"/>
  <c r="C63" i="10"/>
  <c r="C36" i="10" s="1"/>
  <c r="C27" i="11" s="1"/>
  <c r="C64" i="10"/>
  <c r="C37" i="10" s="1"/>
  <c r="C28" i="11" s="1"/>
  <c r="C65" i="10"/>
  <c r="C38" i="10" s="1"/>
  <c r="C29" i="11" s="1"/>
  <c r="C66" i="10"/>
  <c r="C39" i="10" s="1"/>
  <c r="C30" i="11" s="1"/>
  <c r="M57" i="10"/>
  <c r="M30" i="10" s="1"/>
  <c r="M21" i="11" s="1"/>
  <c r="M58" i="10"/>
  <c r="M31" i="10" s="1"/>
  <c r="M22" i="11" s="1"/>
  <c r="M59" i="10"/>
  <c r="M32" i="10" s="1"/>
  <c r="M23" i="11" s="1"/>
  <c r="M60" i="10"/>
  <c r="M33" i="10" s="1"/>
  <c r="M24" i="11" s="1"/>
  <c r="M61" i="10"/>
  <c r="M34" i="10" s="1"/>
  <c r="M25" i="11" s="1"/>
  <c r="M62" i="10"/>
  <c r="M35" i="10" s="1"/>
  <c r="M26" i="11" s="1"/>
  <c r="M63" i="10"/>
  <c r="M36" i="10" s="1"/>
  <c r="M27" i="11" s="1"/>
  <c r="M64" i="10"/>
  <c r="M37" i="10" s="1"/>
  <c r="M28" i="11" s="1"/>
  <c r="M65" i="10"/>
  <c r="M38" i="10" s="1"/>
  <c r="M29" i="11" s="1"/>
  <c r="M66" i="10"/>
  <c r="M39" i="10" s="1"/>
  <c r="M30" i="11" s="1"/>
  <c r="W15" i="10"/>
  <c r="C54" i="26"/>
  <c r="C55" i="26"/>
  <c r="C50" i="26"/>
  <c r="C56" i="26"/>
  <c r="C43" i="26"/>
  <c r="C51" i="26"/>
  <c r="C47" i="26"/>
  <c r="C57" i="26"/>
  <c r="C48" i="26"/>
  <c r="C46" i="26"/>
  <c r="C45" i="26"/>
  <c r="C52" i="26"/>
  <c r="C44" i="26"/>
  <c r="C53" i="26"/>
  <c r="C49" i="26"/>
  <c r="C128" i="10"/>
  <c r="C133" i="10" s="1"/>
  <c r="C42" i="10"/>
  <c r="C52" i="10"/>
  <c r="C25" i="10" s="1"/>
  <c r="C16" i="11" s="1"/>
  <c r="C54" i="10"/>
  <c r="C27" i="10" s="1"/>
  <c r="C18" i="11" s="1"/>
  <c r="C50" i="10"/>
  <c r="C43" i="10"/>
  <c r="C16" i="10" s="1"/>
  <c r="C7" i="11" s="1"/>
  <c r="C45" i="10"/>
  <c r="C18" i="10" s="1"/>
  <c r="C9" i="11" s="1"/>
  <c r="C51" i="10"/>
  <c r="C24" i="10" s="1"/>
  <c r="C15" i="11" s="1"/>
  <c r="C56" i="10"/>
  <c r="C9" i="10"/>
  <c r="C44" i="10"/>
  <c r="C17" i="10" s="1"/>
  <c r="C8" i="11" s="1"/>
  <c r="C46" i="10"/>
  <c r="C19" i="10" s="1"/>
  <c r="C10" i="11" s="1"/>
  <c r="C53" i="10"/>
  <c r="C26" i="10" s="1"/>
  <c r="C17" i="11" s="1"/>
  <c r="C55" i="10"/>
  <c r="C28" i="10" s="1"/>
  <c r="C19" i="11" s="1"/>
  <c r="C49" i="10"/>
  <c r="C22" i="10" s="1"/>
  <c r="C13" i="11" s="1"/>
  <c r="C47" i="10"/>
  <c r="C20" i="10" s="1"/>
  <c r="C11" i="11" s="1"/>
  <c r="M42" i="10"/>
  <c r="M55" i="10"/>
  <c r="M28" i="10" s="1"/>
  <c r="M19" i="11" s="1"/>
  <c r="M48" i="10"/>
  <c r="M21" i="10" s="1"/>
  <c r="M12" i="11" s="1"/>
  <c r="M51" i="10"/>
  <c r="M24" i="10" s="1"/>
  <c r="M15" i="11" s="1"/>
  <c r="M45" i="10"/>
  <c r="M18" i="10" s="1"/>
  <c r="M9" i="11" s="1"/>
  <c r="M52" i="10"/>
  <c r="M25" i="10" s="1"/>
  <c r="M16" i="11" s="1"/>
  <c r="M9" i="10"/>
  <c r="M43" i="10"/>
  <c r="M16" i="10" s="1"/>
  <c r="M7" i="11" s="1"/>
  <c r="M47" i="10"/>
  <c r="M20" i="10" s="1"/>
  <c r="M11" i="11" s="1"/>
  <c r="M50" i="10"/>
  <c r="M23" i="10" s="1"/>
  <c r="M14" i="11" s="1"/>
  <c r="M46" i="10"/>
  <c r="M19" i="10" s="1"/>
  <c r="M10" i="11" s="1"/>
  <c r="M53" i="10"/>
  <c r="M26" i="10" s="1"/>
  <c r="M17" i="11" s="1"/>
  <c r="M44" i="10"/>
  <c r="M17" i="10" s="1"/>
  <c r="M8" i="11" s="1"/>
  <c r="M54" i="10"/>
  <c r="M27" i="10" s="1"/>
  <c r="M18" i="11" s="1"/>
  <c r="M49" i="10"/>
  <c r="M22" i="10" s="1"/>
  <c r="M13" i="11" s="1"/>
  <c r="M56" i="10"/>
  <c r="M29" i="10" s="1"/>
  <c r="M20" i="11" s="1"/>
  <c r="F15" i="27" l="1"/>
  <c r="P13" i="32" s="1"/>
  <c r="AE18" i="14"/>
  <c r="W11" i="10"/>
  <c r="M36" i="11"/>
  <c r="C36" i="11"/>
  <c r="C29" i="10"/>
  <c r="C20" i="11" s="1"/>
  <c r="C23" i="10"/>
  <c r="C14" i="11" s="1"/>
  <c r="M15" i="10"/>
  <c r="C15" i="10"/>
  <c r="C11" i="10" s="1"/>
  <c r="W39" i="11"/>
  <c r="AE13" i="14"/>
  <c r="C136" i="10"/>
  <c r="W10" i="10"/>
  <c r="W6" i="11"/>
  <c r="W40" i="11" s="1"/>
  <c r="AE20" i="14"/>
  <c r="V18" i="14" l="1"/>
  <c r="M11" i="10"/>
  <c r="L18" i="14"/>
  <c r="W41" i="11"/>
  <c r="AE22" i="14"/>
  <c r="AE23" i="14"/>
  <c r="AE17" i="14"/>
  <c r="L13" i="14"/>
  <c r="C39" i="11"/>
  <c r="L16" i="14" s="1"/>
  <c r="M39" i="11"/>
  <c r="V13" i="14"/>
  <c r="C135" i="10"/>
  <c r="C137" i="10"/>
  <c r="C138" i="10"/>
  <c r="C139" i="10"/>
  <c r="T13" i="14"/>
  <c r="C6" i="11"/>
  <c r="C40" i="11" s="1"/>
  <c r="L20" i="14"/>
  <c r="B38" i="14" s="1"/>
  <c r="C10" i="10"/>
  <c r="V20" i="14"/>
  <c r="M10" i="10"/>
  <c r="M6" i="11"/>
  <c r="M40" i="11" s="1"/>
  <c r="B48" i="14" l="1"/>
  <c r="B60" i="14" s="1"/>
  <c r="B47" i="14"/>
  <c r="B49" i="14"/>
  <c r="B61" i="14" s="1"/>
  <c r="V23" i="14"/>
  <c r="V22" i="14"/>
  <c r="M41" i="11"/>
  <c r="V17" i="14"/>
  <c r="B59" i="14"/>
  <c r="B39" i="14"/>
  <c r="B56" i="14" s="1"/>
  <c r="B55" i="14"/>
  <c r="C41" i="11"/>
  <c r="L22" i="14"/>
  <c r="L23" i="14"/>
  <c r="B40" i="14"/>
  <c r="B57" i="14" s="1"/>
  <c r="E9" i="26"/>
  <c r="C9" i="26"/>
  <c r="E85" i="26"/>
  <c r="E29" i="26" s="1"/>
  <c r="D9" i="26"/>
  <c r="D74" i="26"/>
  <c r="D18" i="26" s="1"/>
  <c r="D82" i="26"/>
  <c r="D26" i="26" s="1"/>
  <c r="D75" i="26"/>
  <c r="D19" i="26" s="1"/>
  <c r="D80" i="26"/>
  <c r="D24" i="26" s="1"/>
  <c r="D76" i="26"/>
  <c r="D20" i="26" s="1"/>
  <c r="D84" i="26"/>
  <c r="D28" i="26" s="1"/>
  <c r="D77" i="26"/>
  <c r="D21" i="26" s="1"/>
  <c r="D81" i="26"/>
  <c r="D25" i="26" s="1"/>
  <c r="C77" i="26"/>
  <c r="C21" i="26" s="1"/>
  <c r="C84" i="26"/>
  <c r="C28" i="26" s="1"/>
  <c r="E72" i="26"/>
  <c r="E16" i="26" s="1"/>
  <c r="E82" i="26"/>
  <c r="E26" i="26" s="1"/>
  <c r="E74" i="26"/>
  <c r="E18" i="26" s="1"/>
  <c r="E79" i="26"/>
  <c r="E23" i="26" s="1"/>
  <c r="E71" i="26"/>
  <c r="E15" i="26" s="1"/>
  <c r="E76" i="26"/>
  <c r="E20" i="26" s="1"/>
  <c r="E77" i="26"/>
  <c r="E21" i="26" s="1"/>
  <c r="E80" i="26"/>
  <c r="E24" i="26" s="1"/>
  <c r="E73" i="26"/>
  <c r="E17" i="26" s="1"/>
  <c r="E78" i="26"/>
  <c r="E22" i="26" s="1"/>
  <c r="E83" i="26"/>
  <c r="E27" i="26" s="1"/>
  <c r="E75" i="26"/>
  <c r="E19" i="26" s="1"/>
  <c r="E84" i="26"/>
  <c r="E28" i="26" s="1"/>
  <c r="E81" i="26"/>
  <c r="E25" i="26" s="1"/>
  <c r="D83" i="26"/>
  <c r="D27" i="26" s="1"/>
  <c r="D78" i="26"/>
  <c r="D22" i="26" s="1"/>
  <c r="D71" i="26"/>
  <c r="D15" i="26" s="1"/>
  <c r="D79" i="26"/>
  <c r="D23" i="26" s="1"/>
  <c r="F80" i="26"/>
  <c r="F24" i="26" s="1"/>
  <c r="F85" i="26"/>
  <c r="F29" i="26" s="1"/>
  <c r="F79" i="26"/>
  <c r="F23" i="26" s="1"/>
  <c r="D72" i="26"/>
  <c r="D16" i="26" s="1"/>
  <c r="D85" i="26"/>
  <c r="D29" i="26" s="1"/>
  <c r="D73" i="26"/>
  <c r="D17" i="26" s="1"/>
  <c r="F9" i="26"/>
  <c r="F71" i="26"/>
  <c r="F15" i="26" s="1"/>
  <c r="F11" i="26" s="1"/>
  <c r="C73" i="26"/>
  <c r="C17" i="26" s="1"/>
  <c r="C81" i="26"/>
  <c r="C25" i="26" s="1"/>
  <c r="C78" i="26"/>
  <c r="C22" i="26" s="1"/>
  <c r="C76" i="26"/>
  <c r="C20" i="26" s="1"/>
  <c r="C83" i="26"/>
  <c r="C27" i="26" s="1"/>
  <c r="C75" i="26"/>
  <c r="C19" i="26" s="1"/>
  <c r="C74" i="26"/>
  <c r="C18" i="26" s="1"/>
  <c r="C72" i="26"/>
  <c r="C16" i="26" s="1"/>
  <c r="C79" i="26"/>
  <c r="C23" i="26" s="1"/>
  <c r="C80" i="26"/>
  <c r="C24" i="26" s="1"/>
  <c r="C82" i="26"/>
  <c r="C26" i="26" s="1"/>
  <c r="C85" i="26"/>
  <c r="C29" i="26" s="1"/>
  <c r="C71" i="26"/>
  <c r="C15" i="26" l="1"/>
  <c r="C10" i="26"/>
  <c r="D10" i="26"/>
  <c r="F10" i="26"/>
  <c r="F73" i="26"/>
  <c r="F17" i="26" s="1"/>
  <c r="F75" i="26"/>
  <c r="F19" i="26" s="1"/>
  <c r="F77" i="26"/>
  <c r="F21" i="26" s="1"/>
  <c r="F78" i="26"/>
  <c r="F22" i="26" s="1"/>
  <c r="F84" i="26"/>
  <c r="F28" i="26" s="1"/>
  <c r="F82" i="26"/>
  <c r="F26" i="26" s="1"/>
  <c r="F81" i="26"/>
  <c r="F25" i="26" s="1"/>
  <c r="F72" i="26"/>
  <c r="F16" i="26" s="1"/>
  <c r="F74" i="26"/>
  <c r="F18" i="26" s="1"/>
  <c r="F76" i="26"/>
  <c r="F20" i="26" s="1"/>
  <c r="F83" i="26"/>
  <c r="F27" i="26" s="1"/>
  <c r="F24" i="27" l="1"/>
  <c r="H9" i="26"/>
  <c r="H71" i="26"/>
  <c r="H15" i="26" s="1"/>
  <c r="H85" i="26"/>
  <c r="H29" i="26" s="1"/>
  <c r="H72" i="26"/>
  <c r="H16" i="26" s="1"/>
  <c r="H79" i="26"/>
  <c r="H23" i="26" s="1"/>
  <c r="H84" i="26"/>
  <c r="H28" i="26" s="1"/>
  <c r="H82" i="26"/>
  <c r="H26" i="26" s="1"/>
  <c r="H76" i="26"/>
  <c r="H20" i="26" s="1"/>
  <c r="H75" i="26"/>
  <c r="H19" i="26" s="1"/>
  <c r="H74" i="26"/>
  <c r="H18" i="26" s="1"/>
  <c r="H73" i="26"/>
  <c r="H17" i="26" s="1"/>
  <c r="H83" i="26"/>
  <c r="H27" i="26" s="1"/>
  <c r="H81" i="26"/>
  <c r="H25" i="26" s="1"/>
  <c r="H77" i="26"/>
  <c r="H21" i="26" s="1"/>
  <c r="H80" i="26"/>
  <c r="H24" i="26" s="1"/>
  <c r="H78" i="26"/>
  <c r="H22" i="26" s="1"/>
  <c r="G82" i="26"/>
  <c r="G26" i="26" s="1"/>
  <c r="G74" i="26"/>
  <c r="G18" i="26" s="1"/>
  <c r="G85" i="26"/>
  <c r="G29" i="26" s="1"/>
  <c r="G73" i="26"/>
  <c r="G17" i="26" s="1"/>
  <c r="G83" i="26"/>
  <c r="G27" i="26" s="1"/>
  <c r="G79" i="26"/>
  <c r="G23" i="26" s="1"/>
  <c r="G75" i="26"/>
  <c r="G19" i="26" s="1"/>
  <c r="G71" i="26"/>
  <c r="G81" i="26"/>
  <c r="G25" i="26" s="1"/>
  <c r="G9" i="26"/>
  <c r="G80" i="26"/>
  <c r="G24" i="26" s="1"/>
  <c r="G77" i="26"/>
  <c r="G21" i="26" s="1"/>
  <c r="G76" i="26"/>
  <c r="G20" i="26" s="1"/>
  <c r="G72" i="26"/>
  <c r="G16" i="26" s="1"/>
  <c r="G78" i="26"/>
  <c r="G22" i="26" s="1"/>
  <c r="G84" i="26"/>
  <c r="G28" i="26" s="1"/>
  <c r="J38" i="14" l="1"/>
  <c r="T20" i="14"/>
  <c r="F28" i="27"/>
  <c r="G15" i="26"/>
  <c r="I76" i="26"/>
  <c r="I20" i="26" s="1"/>
  <c r="I9" i="26"/>
  <c r="I74" i="26"/>
  <c r="I18" i="26" s="1"/>
  <c r="I75" i="26"/>
  <c r="I19" i="26" s="1"/>
  <c r="I80" i="26"/>
  <c r="I24" i="26" s="1"/>
  <c r="I71" i="26"/>
  <c r="I15" i="26" s="1"/>
  <c r="I73" i="26"/>
  <c r="I17" i="26" s="1"/>
  <c r="I84" i="26"/>
  <c r="I28" i="26" s="1"/>
  <c r="I78" i="26"/>
  <c r="I22" i="26" s="1"/>
  <c r="I82" i="26"/>
  <c r="I26" i="26" s="1"/>
  <c r="I72" i="26"/>
  <c r="I16" i="26" s="1"/>
  <c r="I83" i="26"/>
  <c r="I27" i="26" s="1"/>
  <c r="I77" i="26"/>
  <c r="I21" i="26" s="1"/>
  <c r="I85" i="26"/>
  <c r="I29" i="26" s="1"/>
  <c r="I81" i="26"/>
  <c r="I25" i="26" s="1"/>
  <c r="I79" i="26"/>
  <c r="I23" i="26" s="1"/>
  <c r="J55" i="14" l="1"/>
  <c r="J78" i="26"/>
  <c r="J22" i="26" s="1"/>
  <c r="C13" i="27" s="1"/>
  <c r="J77" i="26"/>
  <c r="J21" i="26" s="1"/>
  <c r="C12" i="27" s="1"/>
  <c r="J79" i="26"/>
  <c r="J23" i="26" s="1"/>
  <c r="C14" i="27" s="1"/>
  <c r="J76" i="26"/>
  <c r="J20" i="26" s="1"/>
  <c r="C11" i="27" s="1"/>
  <c r="J71" i="26"/>
  <c r="J75" i="26"/>
  <c r="J19" i="26" s="1"/>
  <c r="C10" i="27" s="1"/>
  <c r="J84" i="26"/>
  <c r="J28" i="26" s="1"/>
  <c r="C19" i="27" s="1"/>
  <c r="J9" i="26"/>
  <c r="J80" i="26"/>
  <c r="J24" i="26" s="1"/>
  <c r="C15" i="27" s="1"/>
  <c r="J74" i="26"/>
  <c r="J18" i="26" s="1"/>
  <c r="C9" i="27" s="1"/>
  <c r="J83" i="26"/>
  <c r="J27" i="26" s="1"/>
  <c r="C18" i="27" s="1"/>
  <c r="J73" i="26"/>
  <c r="J17" i="26" s="1"/>
  <c r="C8" i="27" s="1"/>
  <c r="J85" i="26"/>
  <c r="J29" i="26" s="1"/>
  <c r="C20" i="27" s="1"/>
  <c r="J72" i="26"/>
  <c r="J16" i="26" s="1"/>
  <c r="C7" i="27" s="1"/>
  <c r="J81" i="26"/>
  <c r="J25" i="26" s="1"/>
  <c r="C16" i="27" s="1"/>
  <c r="J82" i="26"/>
  <c r="J26" i="26" s="1"/>
  <c r="C17" i="27" s="1"/>
  <c r="J15" i="26" l="1"/>
  <c r="C6" i="27" s="1"/>
  <c r="T23" i="14" s="1"/>
  <c r="F16" i="27"/>
  <c r="T22" i="14" l="1"/>
  <c r="F18" i="27"/>
  <c r="P14" i="32"/>
  <c r="F20" i="27"/>
  <c r="F29" i="27"/>
  <c r="T17" i="14" s="1"/>
  <c r="F19" i="27"/>
  <c r="T14" i="14"/>
  <c r="T16" i="14"/>
  <c r="F26" i="27"/>
  <c r="J47" i="14" s="1"/>
  <c r="J36" i="14" l="1"/>
  <c r="B36" i="14"/>
  <c r="H36" i="14"/>
  <c r="E36" i="14"/>
  <c r="D36" i="14"/>
  <c r="C36" i="14"/>
  <c r="F36" i="14"/>
  <c r="G36" i="14"/>
  <c r="I36" i="14"/>
  <c r="T18" i="14"/>
  <c r="J59" i="14"/>
  <c r="C16" i="14" l="1"/>
  <c r="C66" i="14"/>
  <c r="C73" i="14"/>
  <c r="C81" i="14"/>
  <c r="C89" i="14"/>
  <c r="B65" i="14"/>
  <c r="B69" i="14"/>
  <c r="B73" i="14"/>
  <c r="B77" i="14"/>
  <c r="B81" i="14"/>
  <c r="B85" i="14"/>
  <c r="B89" i="14"/>
  <c r="B16" i="14"/>
  <c r="C65" i="14"/>
  <c r="C77" i="14"/>
  <c r="C85" i="14"/>
  <c r="B67" i="14"/>
  <c r="B71" i="14"/>
  <c r="B75" i="14"/>
  <c r="B79" i="14"/>
  <c r="B83" i="14"/>
  <c r="B87" i="14"/>
  <c r="B64" i="14"/>
  <c r="C83" i="14"/>
  <c r="C75" i="14"/>
  <c r="B88" i="14"/>
  <c r="B84" i="14"/>
  <c r="B80" i="14"/>
  <c r="B76" i="14"/>
  <c r="B72" i="14"/>
  <c r="B68" i="14"/>
  <c r="C64" i="14"/>
  <c r="C86" i="14"/>
  <c r="C82" i="14"/>
  <c r="C78" i="14"/>
  <c r="C74" i="14"/>
  <c r="C67" i="14"/>
  <c r="C70" i="14"/>
  <c r="C87" i="14"/>
  <c r="C79" i="14"/>
  <c r="C69" i="14"/>
  <c r="B86" i="14"/>
  <c r="B82" i="14"/>
  <c r="B78" i="14"/>
  <c r="B74" i="14"/>
  <c r="B70" i="14"/>
  <c r="B66" i="14"/>
  <c r="C88" i="14"/>
  <c r="C84" i="14"/>
  <c r="C80" i="14"/>
  <c r="C76" i="14"/>
  <c r="C71" i="14"/>
  <c r="C72" i="14"/>
  <c r="C68" i="14"/>
  <c r="L17" i="14"/>
  <c r="C4" i="34"/>
  <c r="C5" i="34" l="1"/>
  <c r="C6" i="34" s="1"/>
  <c r="C6" i="35" s="1"/>
  <c r="C7" i="35" l="1"/>
  <c r="C11" i="34"/>
  <c r="C12" i="34" s="1"/>
  <c r="C170" i="35" l="1"/>
  <c r="C172" i="35"/>
  <c r="C174" i="35"/>
  <c r="C176" i="35"/>
  <c r="C178" i="35"/>
  <c r="C180" i="35"/>
  <c r="C182" i="35"/>
  <c r="C167" i="35"/>
  <c r="C165" i="35"/>
  <c r="C163" i="35"/>
  <c r="C161" i="35"/>
  <c r="C159" i="35"/>
  <c r="C157" i="35"/>
  <c r="C155" i="35"/>
  <c r="C153" i="35"/>
  <c r="C151" i="35"/>
  <c r="C149" i="35"/>
  <c r="C147" i="35"/>
  <c r="C145" i="35"/>
  <c r="C169" i="35"/>
  <c r="C171" i="35"/>
  <c r="C173" i="35"/>
  <c r="C175" i="35"/>
  <c r="C177" i="35"/>
  <c r="C179" i="35"/>
  <c r="C181" i="35"/>
  <c r="C183" i="35"/>
  <c r="C168" i="35"/>
  <c r="C166" i="35"/>
  <c r="C164" i="35"/>
  <c r="C162" i="35"/>
  <c r="C160" i="35"/>
  <c r="C158" i="35"/>
  <c r="C156" i="35"/>
  <c r="C154" i="35"/>
  <c r="C152" i="35"/>
  <c r="C150" i="35"/>
  <c r="C148" i="35"/>
  <c r="C146" i="35"/>
  <c r="C144" i="35"/>
  <c r="C127" i="35"/>
  <c r="C41" i="35" s="1"/>
  <c r="C129" i="35"/>
  <c r="C43" i="35" s="1"/>
  <c r="C131" i="35"/>
  <c r="C45" i="35" s="1"/>
  <c r="C133" i="35"/>
  <c r="C47" i="35" s="1"/>
  <c r="C135" i="35"/>
  <c r="C49" i="35" s="1"/>
  <c r="C137" i="35"/>
  <c r="C51" i="35" s="1"/>
  <c r="C139" i="35"/>
  <c r="C53" i="35" s="1"/>
  <c r="C125" i="35"/>
  <c r="C39" i="35" s="1"/>
  <c r="C123" i="35"/>
  <c r="C37" i="35" s="1"/>
  <c r="C121" i="35"/>
  <c r="C35" i="35" s="1"/>
  <c r="C119" i="35"/>
  <c r="C33" i="35" s="1"/>
  <c r="C117" i="35"/>
  <c r="C31" i="35" s="1"/>
  <c r="C115" i="35"/>
  <c r="C29" i="35" s="1"/>
  <c r="C113" i="35"/>
  <c r="C27" i="35" s="1"/>
  <c r="C111" i="35"/>
  <c r="C25" i="35" s="1"/>
  <c r="C109" i="35"/>
  <c r="C23" i="35" s="1"/>
  <c r="C107" i="35"/>
  <c r="C21" i="35" s="1"/>
  <c r="C105" i="35"/>
  <c r="C19" i="35" s="1"/>
  <c r="C103" i="35"/>
  <c r="C17" i="35" s="1"/>
  <c r="C101" i="35"/>
  <c r="C126" i="35"/>
  <c r="C128" i="35"/>
  <c r="C130" i="35"/>
  <c r="C132" i="35"/>
  <c r="C134" i="35"/>
  <c r="C136" i="35"/>
  <c r="C138" i="35"/>
  <c r="C140" i="35"/>
  <c r="C124" i="35"/>
  <c r="C122" i="35"/>
  <c r="C120" i="35"/>
  <c r="C118" i="35"/>
  <c r="C116" i="35"/>
  <c r="C114" i="35"/>
  <c r="C112" i="35"/>
  <c r="C110" i="35"/>
  <c r="C108" i="35"/>
  <c r="C106" i="35"/>
  <c r="C104" i="35"/>
  <c r="C102" i="35"/>
  <c r="C9" i="35"/>
  <c r="C18" i="35" l="1"/>
  <c r="C22" i="35"/>
  <c r="C26" i="35"/>
  <c r="C30" i="35"/>
  <c r="C34" i="35"/>
  <c r="C38" i="35"/>
  <c r="C16" i="35"/>
  <c r="C20" i="35"/>
  <c r="C24" i="35"/>
  <c r="C28" i="35"/>
  <c r="C32" i="35"/>
  <c r="C36" i="35"/>
  <c r="C54" i="35"/>
  <c r="C50" i="35"/>
  <c r="C46" i="35"/>
  <c r="C42" i="35"/>
  <c r="C52" i="35"/>
  <c r="C48" i="35"/>
  <c r="C44" i="35"/>
  <c r="C40" i="35"/>
  <c r="C15" i="35"/>
  <c r="C11" i="35" s="1"/>
  <c r="D4" i="34"/>
  <c r="C10" i="35" l="1"/>
  <c r="D5" i="34"/>
  <c r="D6" i="34" s="1"/>
  <c r="D6" i="35" s="1"/>
  <c r="D7" i="35" l="1"/>
  <c r="D9" i="35" s="1"/>
  <c r="D11" i="34"/>
  <c r="D12" i="34" s="1"/>
  <c r="C7" i="34"/>
  <c r="C46" i="36"/>
  <c r="P25" i="32" s="1"/>
  <c r="C14" i="34" l="1"/>
  <c r="F12" i="36"/>
  <c r="D126" i="35"/>
  <c r="D128" i="35"/>
  <c r="D130" i="35"/>
  <c r="D132" i="35"/>
  <c r="D134" i="35"/>
  <c r="D136" i="35"/>
  <c r="D138" i="35"/>
  <c r="D140" i="35"/>
  <c r="D127" i="35"/>
  <c r="D129" i="35"/>
  <c r="D131" i="35"/>
  <c r="D133" i="35"/>
  <c r="D135" i="35"/>
  <c r="D137" i="35"/>
  <c r="D139" i="35"/>
  <c r="D101" i="35"/>
  <c r="D105" i="35"/>
  <c r="D109" i="35"/>
  <c r="D113" i="35"/>
  <c r="D117" i="35"/>
  <c r="D121" i="35"/>
  <c r="D125" i="35"/>
  <c r="D102" i="35"/>
  <c r="D106" i="35"/>
  <c r="D110" i="35"/>
  <c r="D114" i="35"/>
  <c r="D118" i="35"/>
  <c r="D122" i="35"/>
  <c r="D103" i="35"/>
  <c r="D107" i="35"/>
  <c r="D111" i="35"/>
  <c r="D115" i="35"/>
  <c r="D119" i="35"/>
  <c r="D123" i="35"/>
  <c r="D104" i="35"/>
  <c r="D108" i="35"/>
  <c r="D112" i="35"/>
  <c r="D116" i="35"/>
  <c r="D120" i="35"/>
  <c r="D124" i="35"/>
  <c r="D169" i="35"/>
  <c r="D171" i="35"/>
  <c r="D173" i="35"/>
  <c r="D175" i="35"/>
  <c r="D177" i="35"/>
  <c r="D179" i="35"/>
  <c r="D181" i="35"/>
  <c r="D183" i="35"/>
  <c r="D168" i="35"/>
  <c r="D166" i="35"/>
  <c r="D164" i="35"/>
  <c r="D162" i="35"/>
  <c r="D160" i="35"/>
  <c r="D158" i="35"/>
  <c r="D156" i="35"/>
  <c r="D154" i="35"/>
  <c r="D152" i="35"/>
  <c r="D150" i="35"/>
  <c r="D148" i="35"/>
  <c r="D146" i="35"/>
  <c r="D144" i="35"/>
  <c r="D170" i="35"/>
  <c r="D172" i="35"/>
  <c r="D174" i="35"/>
  <c r="D176" i="35"/>
  <c r="D178" i="35"/>
  <c r="D180" i="35"/>
  <c r="D182" i="35"/>
  <c r="D167" i="35"/>
  <c r="D165" i="35"/>
  <c r="D163" i="35"/>
  <c r="D161" i="35"/>
  <c r="D159" i="35"/>
  <c r="D157" i="35"/>
  <c r="D155" i="35"/>
  <c r="D153" i="35"/>
  <c r="D151" i="35"/>
  <c r="D149" i="35"/>
  <c r="D147" i="35"/>
  <c r="D145" i="35"/>
  <c r="C9" i="34"/>
  <c r="C10" i="34" s="1"/>
  <c r="F17" i="36" l="1"/>
  <c r="F16" i="36"/>
  <c r="P11" i="32"/>
  <c r="C5" i="36"/>
  <c r="D34" i="35"/>
  <c r="D26" i="35"/>
  <c r="D18" i="35"/>
  <c r="D33" i="35"/>
  <c r="D25" i="35"/>
  <c r="D17" i="35"/>
  <c r="D32" i="35"/>
  <c r="D24" i="35"/>
  <c r="D16" i="35"/>
  <c r="D35" i="35"/>
  <c r="C26" i="36" s="1"/>
  <c r="D27" i="35"/>
  <c r="D19" i="35"/>
  <c r="D53" i="35"/>
  <c r="C44" i="36" s="1"/>
  <c r="D49" i="35"/>
  <c r="C40" i="36" s="1"/>
  <c r="D45" i="35"/>
  <c r="C36" i="36" s="1"/>
  <c r="D41" i="35"/>
  <c r="C32" i="36" s="1"/>
  <c r="D52" i="35"/>
  <c r="C43" i="36" s="1"/>
  <c r="D48" i="35"/>
  <c r="C39" i="36" s="1"/>
  <c r="D44" i="35"/>
  <c r="C35" i="36" s="1"/>
  <c r="D40" i="35"/>
  <c r="C31" i="36" s="1"/>
  <c r="C16" i="34"/>
  <c r="C18" i="34"/>
  <c r="C20" i="34"/>
  <c r="C22" i="34"/>
  <c r="C24" i="34"/>
  <c r="C26" i="34"/>
  <c r="C17" i="36" s="1"/>
  <c r="C28" i="34"/>
  <c r="C30" i="34"/>
  <c r="C32" i="34"/>
  <c r="C23" i="36" s="1"/>
  <c r="C34" i="34"/>
  <c r="C17" i="34"/>
  <c r="C19" i="34"/>
  <c r="C10" i="36" s="1"/>
  <c r="C21" i="34"/>
  <c r="C23" i="34"/>
  <c r="C25" i="34"/>
  <c r="C16" i="36" s="1"/>
  <c r="C27" i="34"/>
  <c r="C29" i="34"/>
  <c r="C31" i="34"/>
  <c r="C33" i="34"/>
  <c r="C15" i="34"/>
  <c r="P12" i="32" s="1"/>
  <c r="D38" i="35"/>
  <c r="C29" i="36" s="1"/>
  <c r="D30" i="35"/>
  <c r="D22" i="35"/>
  <c r="D37" i="35"/>
  <c r="C28" i="36" s="1"/>
  <c r="D29" i="35"/>
  <c r="D21" i="35"/>
  <c r="D36" i="35"/>
  <c r="C27" i="36" s="1"/>
  <c r="D28" i="35"/>
  <c r="D20" i="35"/>
  <c r="D39" i="35"/>
  <c r="C30" i="36" s="1"/>
  <c r="D31" i="35"/>
  <c r="D23" i="35"/>
  <c r="D15" i="35"/>
  <c r="D51" i="35"/>
  <c r="C42" i="36" s="1"/>
  <c r="D47" i="35"/>
  <c r="C38" i="36" s="1"/>
  <c r="D43" i="35"/>
  <c r="C34" i="36" s="1"/>
  <c r="D54" i="35"/>
  <c r="C45" i="36" s="1"/>
  <c r="D50" i="35"/>
  <c r="C41" i="36" s="1"/>
  <c r="D46" i="35"/>
  <c r="C37" i="36" s="1"/>
  <c r="D42" i="35"/>
  <c r="C33" i="36" s="1"/>
  <c r="C7" i="36"/>
  <c r="C24" i="36" l="1"/>
  <c r="C8" i="36"/>
  <c r="C15" i="36"/>
  <c r="C9" i="36"/>
  <c r="C12" i="36"/>
  <c r="D11" i="35"/>
  <c r="D10" i="35"/>
  <c r="C18" i="36"/>
  <c r="C25" i="36"/>
  <c r="F26" i="36"/>
  <c r="F47" i="32" s="1"/>
  <c r="C22" i="36"/>
  <c r="C21" i="36"/>
  <c r="C20" i="36"/>
  <c r="C19" i="36"/>
  <c r="C14" i="36"/>
  <c r="F25" i="36"/>
  <c r="F42" i="32" s="1"/>
  <c r="F13" i="36"/>
  <c r="F18" i="36" s="1"/>
  <c r="P16" i="32" s="1"/>
  <c r="F27" i="36"/>
  <c r="F51" i="32" s="1"/>
  <c r="C13" i="36"/>
  <c r="F24" i="36"/>
  <c r="C11" i="36"/>
  <c r="C6" i="36"/>
  <c r="F20" i="36" s="1"/>
  <c r="P23" i="32" s="1"/>
  <c r="F36" i="32" l="1"/>
  <c r="D36" i="32"/>
  <c r="B36" i="32"/>
  <c r="E36" i="32"/>
  <c r="C36" i="32"/>
  <c r="P21" i="32"/>
  <c r="F38" i="32"/>
  <c r="P19" i="32"/>
  <c r="P20" i="32"/>
  <c r="F19" i="36"/>
  <c r="P17" i="32" s="1"/>
  <c r="P22" i="32"/>
  <c r="P24" i="32"/>
  <c r="F28" i="36"/>
  <c r="F55" i="32" s="1"/>
  <c r="F29" i="36"/>
  <c r="C15" i="32" l="1"/>
  <c r="C66" i="32"/>
  <c r="C68" i="32"/>
  <c r="C70" i="32"/>
  <c r="C72" i="32"/>
  <c r="C74" i="32"/>
  <c r="C76" i="32"/>
  <c r="C78" i="32"/>
  <c r="C80" i="32"/>
  <c r="C82" i="32"/>
  <c r="C84" i="32"/>
  <c r="C86" i="32"/>
  <c r="C88" i="32"/>
  <c r="C90" i="32"/>
  <c r="C92" i="32"/>
  <c r="C94" i="32"/>
  <c r="C96" i="32"/>
  <c r="C98" i="32"/>
  <c r="C100" i="32"/>
  <c r="C102" i="32"/>
  <c r="C104" i="32"/>
  <c r="B66" i="32"/>
  <c r="B68" i="32"/>
  <c r="B70" i="32"/>
  <c r="B72" i="32"/>
  <c r="B74" i="32"/>
  <c r="B76" i="32"/>
  <c r="B78" i="32"/>
  <c r="B80" i="32"/>
  <c r="B82" i="32"/>
  <c r="B84" i="32"/>
  <c r="B86" i="32"/>
  <c r="B65" i="32"/>
  <c r="B15" i="32"/>
  <c r="C65" i="32"/>
  <c r="C67" i="32"/>
  <c r="C69" i="32"/>
  <c r="C71" i="32"/>
  <c r="C73" i="32"/>
  <c r="C75" i="32"/>
  <c r="C77" i="32"/>
  <c r="C79" i="32"/>
  <c r="C81" i="32"/>
  <c r="C83" i="32"/>
  <c r="C85" i="32"/>
  <c r="C87" i="32"/>
  <c r="C89" i="32"/>
  <c r="C91" i="32"/>
  <c r="C93" i="32"/>
  <c r="C95" i="32"/>
  <c r="C97" i="32"/>
  <c r="C99" i="32"/>
  <c r="C101" i="32"/>
  <c r="C103" i="32"/>
  <c r="C64" i="32"/>
  <c r="B67" i="32"/>
  <c r="B69" i="32"/>
  <c r="B71" i="32"/>
  <c r="B73" i="32"/>
  <c r="B75" i="32"/>
  <c r="B77" i="32"/>
  <c r="B79" i="32"/>
  <c r="B81" i="32"/>
  <c r="B83" i="32"/>
  <c r="B85" i="32"/>
  <c r="B87" i="32"/>
  <c r="B64" i="32"/>
  <c r="F59" i="32"/>
</calcChain>
</file>

<file path=xl/comments1.xml><?xml version="1.0" encoding="utf-8"?>
<comments xmlns="http://schemas.openxmlformats.org/spreadsheetml/2006/main">
  <authors>
    <author>sylvester</author>
  </authors>
  <commentList>
    <comment ref="A44" authorId="0">
      <text>
        <r>
          <rPr>
            <b/>
            <sz val="8"/>
            <color indexed="81"/>
            <rFont val="Tahoma"/>
            <family val="2"/>
          </rPr>
          <t>Depends on passenger boardings</t>
        </r>
      </text>
    </comment>
  </commentList>
</comments>
</file>

<file path=xl/comments10.xml><?xml version="1.0" encoding="utf-8"?>
<comments xmlns="http://schemas.openxmlformats.org/spreadsheetml/2006/main">
  <authors>
    <author>sylvester</author>
  </authors>
  <commentList>
    <comment ref="H10" authorId="0">
      <text>
        <r>
          <rPr>
            <b/>
            <sz val="8"/>
            <color indexed="81"/>
            <rFont val="Tahoma"/>
            <family val="2"/>
          </rPr>
          <t>Assume 50% of Year 1 operating costs for start-up</t>
        </r>
      </text>
    </comment>
  </commentList>
</comments>
</file>

<file path=xl/comments11.xml><?xml version="1.0" encoding="utf-8"?>
<comments xmlns="http://schemas.openxmlformats.org/spreadsheetml/2006/main">
  <authors>
    <author>sylvester</author>
  </authors>
  <commentList>
    <comment ref="A141" authorId="0">
      <text>
        <r>
          <rPr>
            <b/>
            <sz val="8"/>
            <color indexed="81"/>
            <rFont val="Tahoma"/>
            <family val="2"/>
          </rPr>
          <t>Does not include depreciation</t>
        </r>
      </text>
    </comment>
    <comment ref="H141" authorId="0">
      <text>
        <r>
          <rPr>
            <b/>
            <sz val="8"/>
            <color indexed="81"/>
            <rFont val="Tahoma"/>
            <family val="2"/>
          </rPr>
          <t>Does not include depreciation</t>
        </r>
      </text>
    </comment>
    <comment ref="O141" authorId="0">
      <text>
        <r>
          <rPr>
            <b/>
            <sz val="8"/>
            <color indexed="81"/>
            <rFont val="Tahoma"/>
            <family val="2"/>
          </rPr>
          <t>Does not include depreciation</t>
        </r>
      </text>
    </comment>
  </commentList>
</comments>
</file>

<file path=xl/comments12.xml><?xml version="1.0" encoding="utf-8"?>
<comments xmlns="http://schemas.openxmlformats.org/spreadsheetml/2006/main">
  <authors>
    <author>sylvester</author>
  </authors>
  <commentList>
    <comment ref="A48" authorId="0">
      <text>
        <r>
          <rPr>
            <b/>
            <sz val="8"/>
            <color indexed="81"/>
            <rFont val="Tahoma"/>
            <family val="2"/>
          </rPr>
          <t>Equity + start up. 
Does not include Engine overhaul. These are included in maintenance (indirect operating expense).</t>
        </r>
      </text>
    </comment>
    <comment ref="J48" authorId="0">
      <text>
        <r>
          <rPr>
            <b/>
            <sz val="8"/>
            <color indexed="81"/>
            <rFont val="Tahoma"/>
            <family val="2"/>
          </rPr>
          <t>Equity + start up. 
Does not include Engine overhaul. These are included in maintenance (indirect operating expense).</t>
        </r>
      </text>
    </comment>
    <comment ref="T48" authorId="0">
      <text>
        <r>
          <rPr>
            <b/>
            <sz val="8"/>
            <color indexed="81"/>
            <rFont val="Tahoma"/>
            <family val="2"/>
          </rPr>
          <t>Equity + start up. 
Does not include Engine overhaul. These are included in maintenance (indirect operating expense).</t>
        </r>
      </text>
    </comment>
    <comment ref="A49" authorId="0">
      <text>
        <r>
          <rPr>
            <b/>
            <sz val="8"/>
            <color indexed="81"/>
            <rFont val="Tahoma"/>
            <family val="2"/>
          </rPr>
          <t>Debt Service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Debt Service</t>
        </r>
      </text>
    </comment>
    <comment ref="T49" authorId="0">
      <text>
        <r>
          <rPr>
            <b/>
            <sz val="8"/>
            <color indexed="81"/>
            <rFont val="Tahoma"/>
            <family val="2"/>
          </rPr>
          <t>Debt Service</t>
        </r>
      </text>
    </comment>
    <comment ref="A51" authorId="0">
      <text>
        <r>
          <rPr>
            <b/>
            <sz val="8"/>
            <color indexed="81"/>
            <rFont val="Tahoma"/>
            <family val="2"/>
          </rPr>
          <t>Fuel, Lubricant, Onboard Labor</t>
        </r>
      </text>
    </comment>
    <comment ref="J51" authorId="0">
      <text>
        <r>
          <rPr>
            <b/>
            <sz val="8"/>
            <color indexed="81"/>
            <rFont val="Tahoma"/>
            <family val="2"/>
          </rPr>
          <t>Fuel, Lubricant, Onboard Labor</t>
        </r>
      </text>
    </comment>
    <comment ref="T51" authorId="0">
      <text>
        <r>
          <rPr>
            <b/>
            <sz val="8"/>
            <color indexed="81"/>
            <rFont val="Tahoma"/>
            <family val="2"/>
          </rPr>
          <t>Fuel, Lubricant, Onboard Labor</t>
        </r>
      </text>
    </comment>
    <comment ref="A52" authorId="0">
      <text>
        <r>
          <rPr>
            <b/>
            <sz val="8"/>
            <color indexed="81"/>
            <rFont val="Tahoma"/>
            <family val="2"/>
          </rPr>
          <t>Maintenance, Marketing, Advertising, Overhead</t>
        </r>
      </text>
    </comment>
    <comment ref="J52" authorId="0">
      <text>
        <r>
          <rPr>
            <b/>
            <sz val="8"/>
            <color indexed="81"/>
            <rFont val="Tahoma"/>
            <family val="2"/>
          </rPr>
          <t>Maintenance, Marketing, Advertising, Overhead</t>
        </r>
      </text>
    </comment>
    <comment ref="T52" authorId="0">
      <text>
        <r>
          <rPr>
            <b/>
            <sz val="8"/>
            <color indexed="81"/>
            <rFont val="Tahoma"/>
            <family val="2"/>
          </rPr>
          <t>Maintenance, Marketing, Advertising, Overhead</t>
        </r>
      </text>
    </comment>
    <comment ref="A53" authorId="0">
      <text>
        <r>
          <rPr>
            <b/>
            <sz val="8"/>
            <color indexed="81"/>
            <rFont val="Tahoma"/>
            <family val="2"/>
          </rPr>
          <t>Insurance</t>
        </r>
      </text>
    </comment>
    <comment ref="J53" authorId="0">
      <text>
        <r>
          <rPr>
            <b/>
            <sz val="8"/>
            <color indexed="81"/>
            <rFont val="Tahoma"/>
            <family val="2"/>
          </rPr>
          <t>Insurance</t>
        </r>
      </text>
    </comment>
    <comment ref="T53" authorId="0">
      <text>
        <r>
          <rPr>
            <b/>
            <sz val="8"/>
            <color indexed="81"/>
            <rFont val="Tahoma"/>
            <family val="2"/>
          </rPr>
          <t>Insurance</t>
        </r>
      </text>
    </comment>
  </commentList>
</comments>
</file>

<file path=xl/comments13.xml><?xml version="1.0" encoding="utf-8"?>
<comments xmlns="http://schemas.openxmlformats.org/spreadsheetml/2006/main">
  <authors>
    <author>sylvester</author>
  </authors>
  <commentList>
    <comment ref="K23" authorId="0">
      <text>
        <r>
          <rPr>
            <b/>
            <sz val="8"/>
            <color indexed="81"/>
            <rFont val="Tahoma"/>
            <family val="2"/>
          </rPr>
          <t>Should this include debt service cost?</t>
        </r>
      </text>
    </comment>
    <comment ref="S23" authorId="0">
      <text>
        <r>
          <rPr>
            <b/>
            <sz val="8"/>
            <color indexed="81"/>
            <rFont val="Tahoma"/>
            <family val="2"/>
          </rPr>
          <t>Should this include debt service cost?</t>
        </r>
      </text>
    </comment>
    <comment ref="Z23" authorId="0">
      <text>
        <r>
          <rPr>
            <b/>
            <sz val="8"/>
            <color indexed="81"/>
            <rFont val="Tahoma"/>
            <family val="2"/>
          </rPr>
          <t>Should this include debt service cost?</t>
        </r>
      </text>
    </comment>
  </commentList>
</comments>
</file>

<file path=xl/comments14.xml><?xml version="1.0" encoding="utf-8"?>
<comments xmlns="http://schemas.openxmlformats.org/spreadsheetml/2006/main">
  <authors>
    <author>sylvester</author>
  </authors>
  <commentList>
    <comment ref="A142" authorId="0">
      <text>
        <r>
          <rPr>
            <b/>
            <sz val="8"/>
            <color indexed="81"/>
            <rFont val="Tahoma"/>
            <family val="2"/>
          </rPr>
          <t>Does not include depreciation</t>
        </r>
      </text>
    </comment>
  </commentList>
</comments>
</file>

<file path=xl/comments15.xml><?xml version="1.0" encoding="utf-8"?>
<comments xmlns="http://schemas.openxmlformats.org/spreadsheetml/2006/main">
  <authors>
    <author>sylvester</author>
  </authors>
  <commentList>
    <comment ref="E12" authorId="0">
      <text>
        <r>
          <rPr>
            <b/>
            <sz val="8"/>
            <color indexed="81"/>
            <rFont val="Tahoma"/>
            <family val="2"/>
          </rPr>
          <t>Equity + start up. 
Does not include Engine overhaul. These are included in maintenance (indirect operating expense).</t>
        </r>
      </text>
    </comment>
    <comment ref="E13" authorId="0">
      <text>
        <r>
          <rPr>
            <b/>
            <sz val="8"/>
            <color indexed="81"/>
            <rFont val="Tahoma"/>
            <family val="2"/>
          </rPr>
          <t>Debt Service</t>
        </r>
      </text>
    </comment>
    <comment ref="E15" authorId="0">
      <text>
        <r>
          <rPr>
            <b/>
            <sz val="8"/>
            <color indexed="81"/>
            <rFont val="Tahoma"/>
            <family val="2"/>
          </rPr>
          <t>Fuel, Lubricant, Onboard Labor</t>
        </r>
      </text>
    </comment>
    <comment ref="E16" authorId="0">
      <text>
        <r>
          <rPr>
            <b/>
            <sz val="8"/>
            <color indexed="81"/>
            <rFont val="Tahoma"/>
            <family val="2"/>
          </rPr>
          <t>Maintenance, Marketing, Advertising, Overhead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>Insurance</t>
        </r>
      </text>
    </comment>
  </commentList>
</comments>
</file>

<file path=xl/comments2.xml><?xml version="1.0" encoding="utf-8"?>
<comments xmlns="http://schemas.openxmlformats.org/spreadsheetml/2006/main">
  <authors>
    <author>sylvester</author>
  </authors>
  <commentList>
    <comment ref="A11" authorId="0">
      <text>
        <r>
          <rPr>
            <b/>
            <sz val="8"/>
            <color indexed="81"/>
            <rFont val="Tahoma"/>
            <family val="2"/>
          </rPr>
          <t>To meet peak pax demand</t>
        </r>
      </text>
    </comment>
    <comment ref="A25" authorId="0">
      <text>
        <r>
          <rPr>
            <b/>
            <sz val="8"/>
            <color indexed="81"/>
            <rFont val="Tahoma"/>
            <family val="2"/>
          </rPr>
          <t>Some rounding error bc averaging high and low estimates</t>
        </r>
      </text>
    </comment>
  </commentList>
</comments>
</file>

<file path=xl/comments3.xml><?xml version="1.0" encoding="utf-8"?>
<comments xmlns="http://schemas.openxmlformats.org/spreadsheetml/2006/main">
  <authors>
    <author>sylvester</author>
  </authors>
  <commentList>
    <comment ref="K10" authorId="0">
      <text>
        <r>
          <rPr>
            <b/>
            <sz val="8"/>
            <color indexed="81"/>
            <rFont val="Tahoma"/>
            <family val="2"/>
          </rPr>
          <t>Assume 50% of Year 1 operating costs for start-up</t>
        </r>
      </text>
    </comment>
    <comment ref="U10" authorId="0">
      <text>
        <r>
          <rPr>
            <b/>
            <sz val="8"/>
            <color indexed="81"/>
            <rFont val="Tahoma"/>
            <family val="2"/>
          </rPr>
          <t>Assume 50% of Year 1 operating costs for start-up</t>
        </r>
      </text>
    </comment>
  </commentList>
</comments>
</file>

<file path=xl/comments4.xml><?xml version="1.0" encoding="utf-8"?>
<comments xmlns="http://schemas.openxmlformats.org/spreadsheetml/2006/main">
  <authors>
    <author>sylvester</author>
  </authors>
  <commentList>
    <comment ref="A96" authorId="0">
      <text>
        <r>
          <rPr>
            <b/>
            <sz val="8"/>
            <color indexed="81"/>
            <rFont val="Tahoma"/>
            <family val="2"/>
          </rPr>
          <t>Does not include depreciation</t>
        </r>
      </text>
    </comment>
    <comment ref="K96" authorId="0">
      <text>
        <r>
          <rPr>
            <b/>
            <sz val="8"/>
            <color indexed="81"/>
            <rFont val="Tahoma"/>
            <family val="2"/>
          </rPr>
          <t>Does not include depreciation</t>
        </r>
      </text>
    </comment>
    <comment ref="U96" authorId="0">
      <text>
        <r>
          <rPr>
            <b/>
            <sz val="8"/>
            <color indexed="81"/>
            <rFont val="Tahoma"/>
            <family val="2"/>
          </rPr>
          <t>Does not include depreciation</t>
        </r>
      </text>
    </comment>
  </commentList>
</comments>
</file>

<file path=xl/comments5.xml><?xml version="1.0" encoding="utf-8"?>
<comments xmlns="http://schemas.openxmlformats.org/spreadsheetml/2006/main">
  <authors>
    <author>sylvester</author>
  </authors>
  <commentList>
    <comment ref="A33" authorId="0">
      <text>
        <r>
          <rPr>
            <b/>
            <sz val="8"/>
            <color indexed="81"/>
            <rFont val="Tahoma"/>
            <family val="2"/>
          </rPr>
          <t>Equity + start up. 
Does not include Engine overhaul. These are included in maintenance (indirect operating expense).</t>
        </r>
      </text>
    </comment>
    <comment ref="K33" authorId="0">
      <text>
        <r>
          <rPr>
            <b/>
            <sz val="8"/>
            <color indexed="81"/>
            <rFont val="Tahoma"/>
            <family val="2"/>
          </rPr>
          <t>Equity + start up. 
Does not include Engine overhaul. These are included in maintenance (indirect operating expense).</t>
        </r>
      </text>
    </comment>
    <comment ref="U33" authorId="0">
      <text>
        <r>
          <rPr>
            <b/>
            <sz val="8"/>
            <color indexed="81"/>
            <rFont val="Tahoma"/>
            <family val="2"/>
          </rPr>
          <t>Equity + start up. 
Does not include Engine overhaul. These are included in maintenance (indirect operating expense).</t>
        </r>
      </text>
    </comment>
    <comment ref="A34" authorId="0">
      <text>
        <r>
          <rPr>
            <b/>
            <sz val="8"/>
            <color indexed="81"/>
            <rFont val="Tahoma"/>
            <family val="2"/>
          </rPr>
          <t>Debt Service</t>
        </r>
      </text>
    </comment>
    <comment ref="K34" authorId="0">
      <text>
        <r>
          <rPr>
            <b/>
            <sz val="8"/>
            <color indexed="81"/>
            <rFont val="Tahoma"/>
            <family val="2"/>
          </rPr>
          <t>Debt Service</t>
        </r>
      </text>
    </comment>
    <comment ref="U34" authorId="0">
      <text>
        <r>
          <rPr>
            <b/>
            <sz val="8"/>
            <color indexed="81"/>
            <rFont val="Tahoma"/>
            <family val="2"/>
          </rPr>
          <t>Debt Service</t>
        </r>
      </text>
    </comment>
    <comment ref="A36" authorId="0">
      <text>
        <r>
          <rPr>
            <b/>
            <sz val="8"/>
            <color indexed="81"/>
            <rFont val="Tahoma"/>
            <family val="2"/>
          </rPr>
          <t>Fuel, Lubricant, Onboard Labor</t>
        </r>
      </text>
    </comment>
    <comment ref="K36" authorId="0">
      <text>
        <r>
          <rPr>
            <b/>
            <sz val="8"/>
            <color indexed="81"/>
            <rFont val="Tahoma"/>
            <family val="2"/>
          </rPr>
          <t>Fuel, Lubricant, Onboard Labor</t>
        </r>
      </text>
    </comment>
    <comment ref="U36" authorId="0">
      <text>
        <r>
          <rPr>
            <b/>
            <sz val="8"/>
            <color indexed="81"/>
            <rFont val="Tahoma"/>
            <family val="2"/>
          </rPr>
          <t>Fuel, Lubricant, Onboard Labor</t>
        </r>
      </text>
    </comment>
    <comment ref="A37" authorId="0">
      <text>
        <r>
          <rPr>
            <b/>
            <sz val="8"/>
            <color indexed="81"/>
            <rFont val="Tahoma"/>
            <family val="2"/>
          </rPr>
          <t>Maintenance, Marketing, Advertising, Overhead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Maintenance, Marketing, Advertising, Overhead</t>
        </r>
      </text>
    </comment>
    <comment ref="U37" authorId="0">
      <text>
        <r>
          <rPr>
            <b/>
            <sz val="8"/>
            <color indexed="81"/>
            <rFont val="Tahoma"/>
            <family val="2"/>
          </rPr>
          <t>Maintenance, Marketing, Advertising, Overhead</t>
        </r>
      </text>
    </comment>
    <comment ref="A38" authorId="0">
      <text>
        <r>
          <rPr>
            <b/>
            <sz val="8"/>
            <color indexed="81"/>
            <rFont val="Tahoma"/>
            <family val="2"/>
          </rPr>
          <t>Insurance</t>
        </r>
      </text>
    </comment>
    <comment ref="K38" authorId="0">
      <text>
        <r>
          <rPr>
            <b/>
            <sz val="8"/>
            <color indexed="81"/>
            <rFont val="Tahoma"/>
            <family val="2"/>
          </rPr>
          <t>Insurance</t>
        </r>
      </text>
    </comment>
    <comment ref="U38" authorId="0">
      <text>
        <r>
          <rPr>
            <b/>
            <sz val="8"/>
            <color indexed="81"/>
            <rFont val="Tahoma"/>
            <family val="2"/>
          </rPr>
          <t>Insurance</t>
        </r>
      </text>
    </comment>
  </commentList>
</comments>
</file>

<file path=xl/comments6.xml><?xml version="1.0" encoding="utf-8"?>
<comments xmlns="http://schemas.openxmlformats.org/spreadsheetml/2006/main">
  <authors>
    <author>sylvester</author>
  </authors>
  <commentList>
    <comment ref="K22" authorId="0">
      <text>
        <r>
          <rPr>
            <b/>
            <sz val="8"/>
            <color indexed="81"/>
            <rFont val="Tahoma"/>
            <family val="2"/>
          </rPr>
          <t>Should this include debt service cost?</t>
        </r>
      </text>
    </comment>
    <comment ref="U22" authorId="0">
      <text>
        <r>
          <rPr>
            <b/>
            <sz val="8"/>
            <color indexed="81"/>
            <rFont val="Tahoma"/>
            <family val="2"/>
          </rPr>
          <t>Should this include debt service cost?</t>
        </r>
      </text>
    </comment>
    <comment ref="AD22" authorId="0">
      <text>
        <r>
          <rPr>
            <b/>
            <sz val="8"/>
            <color indexed="81"/>
            <rFont val="Tahoma"/>
            <family val="2"/>
          </rPr>
          <t>Should this include debt service cost?</t>
        </r>
      </text>
    </comment>
  </commentList>
</comments>
</file>

<file path=xl/comments7.xml><?xml version="1.0" encoding="utf-8"?>
<comments xmlns="http://schemas.openxmlformats.org/spreadsheetml/2006/main">
  <authors>
    <author>sylvester</author>
  </authors>
  <commentList>
    <comment ref="A97" authorId="0">
      <text>
        <r>
          <rPr>
            <b/>
            <sz val="8"/>
            <color indexed="81"/>
            <rFont val="Tahoma"/>
            <family val="2"/>
          </rPr>
          <t>Does not include depreciation</t>
        </r>
      </text>
    </comment>
  </commentList>
</comments>
</file>

<file path=xl/comments8.xml><?xml version="1.0" encoding="utf-8"?>
<comments xmlns="http://schemas.openxmlformats.org/spreadsheetml/2006/main">
  <authors>
    <author>sylvester</author>
  </authors>
  <commentList>
    <comment ref="E12" authorId="0">
      <text>
        <r>
          <rPr>
            <b/>
            <sz val="8"/>
            <color indexed="81"/>
            <rFont val="Tahoma"/>
            <family val="2"/>
          </rPr>
          <t>Equity + start up. 
Does not include Engine overhaul. These are included in maintenance (indirect operating expense).</t>
        </r>
      </text>
    </comment>
    <comment ref="E13" authorId="0">
      <text>
        <r>
          <rPr>
            <b/>
            <sz val="8"/>
            <color indexed="81"/>
            <rFont val="Tahoma"/>
            <family val="2"/>
          </rPr>
          <t>Debt Service</t>
        </r>
      </text>
    </comment>
    <comment ref="E15" authorId="0">
      <text>
        <r>
          <rPr>
            <b/>
            <sz val="8"/>
            <color indexed="81"/>
            <rFont val="Tahoma"/>
            <family val="2"/>
          </rPr>
          <t>Fuel, Lubricant, Onboard Labor</t>
        </r>
      </text>
    </comment>
    <comment ref="E16" authorId="0">
      <text>
        <r>
          <rPr>
            <b/>
            <sz val="8"/>
            <color indexed="81"/>
            <rFont val="Tahoma"/>
            <family val="2"/>
          </rPr>
          <t>Maintenance, Marketing, Advertising, Overhead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>Insurance</t>
        </r>
      </text>
    </comment>
  </commentList>
</comments>
</file>

<file path=xl/comments9.xml><?xml version="1.0" encoding="utf-8"?>
<comments xmlns="http://schemas.openxmlformats.org/spreadsheetml/2006/main">
  <authors>
    <author>sylvester</author>
  </authors>
  <commentList>
    <comment ref="A11" authorId="0">
      <text>
        <r>
          <rPr>
            <b/>
            <sz val="8"/>
            <color indexed="81"/>
            <rFont val="Tahoma"/>
            <family val="2"/>
          </rPr>
          <t>To meet peak pax demand</t>
        </r>
      </text>
    </comment>
    <comment ref="A25" authorId="0">
      <text>
        <r>
          <rPr>
            <b/>
            <sz val="8"/>
            <color indexed="81"/>
            <rFont val="Tahoma"/>
            <family val="2"/>
          </rPr>
          <t>Some rounding error bc averaging high and low estimates</t>
        </r>
      </text>
    </comment>
  </commentList>
</comments>
</file>

<file path=xl/sharedStrings.xml><?xml version="1.0" encoding="utf-8"?>
<sst xmlns="http://schemas.openxmlformats.org/spreadsheetml/2006/main" count="2507" uniqueCount="293">
  <si>
    <t>No</t>
  </si>
  <si>
    <t>Yes</t>
  </si>
  <si>
    <t>Annual Fuel + Lubricant Cost</t>
  </si>
  <si>
    <t>Annual Maintenance Cost</t>
  </si>
  <si>
    <t>Total Operating Costs</t>
  </si>
  <si>
    <t>How many stops will there be?</t>
  </si>
  <si>
    <t>Will the ferry transport vehicles?</t>
  </si>
  <si>
    <t>If yes, how many during the peak hour?</t>
  </si>
  <si>
    <t>Round-Trip time (min)</t>
  </si>
  <si>
    <t>Crew requirement</t>
  </si>
  <si>
    <t>Estimated cost per vessel</t>
  </si>
  <si>
    <t>Total crew required for full fleet</t>
  </si>
  <si>
    <t>Headway (min)</t>
  </si>
  <si>
    <t>Passenger capacity/hr</t>
  </si>
  <si>
    <t>Est. cost (low)</t>
  </si>
  <si>
    <t>Est. cost (high)</t>
  </si>
  <si>
    <t>Max Speed (low)</t>
  </si>
  <si>
    <t>Max Speed (high)</t>
  </si>
  <si>
    <t>Pax Capacity (low)</t>
  </si>
  <si>
    <t>Pax Capacity (high)</t>
  </si>
  <si>
    <t>Horsepower (low)</t>
  </si>
  <si>
    <t>Horsepower (high)</t>
  </si>
  <si>
    <t xml:space="preserve"> Service Speed (knots)</t>
  </si>
  <si>
    <t>Stop Time (min)</t>
  </si>
  <si>
    <t>Service Speed/ Max Speed=</t>
  </si>
  <si>
    <t>Is a spare vessel needed?</t>
  </si>
  <si>
    <t>Vessel Characteristics</t>
  </si>
  <si>
    <t>Passenger Capacity</t>
  </si>
  <si>
    <t>Service/Fleet Summary</t>
  </si>
  <si>
    <t>Vessel Hours</t>
  </si>
  <si>
    <t>Captains per Vessel</t>
  </si>
  <si>
    <t>Deckhands per Vessel</t>
  </si>
  <si>
    <t>Captain Hourly Wage Rate</t>
  </si>
  <si>
    <t>Deckhand Hourly Wage Rate</t>
  </si>
  <si>
    <t>Annual On-board Labor Cost</t>
  </si>
  <si>
    <t>Diesel Fuel Cost/Gallon</t>
  </si>
  <si>
    <t>Lubricant Cost/Gallon</t>
  </si>
  <si>
    <t xml:space="preserve">What is the estimated annual passenger demand </t>
  </si>
  <si>
    <t>Hull and P&amp;I Insurance</t>
  </si>
  <si>
    <t>Marketing, Advertising, Overhead</t>
  </si>
  <si>
    <t>Annual Vessel Depreciation (as % of vessel purchase price)</t>
  </si>
  <si>
    <t>Annual inflation</t>
  </si>
  <si>
    <t>Year</t>
  </si>
  <si>
    <t xml:space="preserve"> Annual Fleet Depreciation</t>
  </si>
  <si>
    <t>Total Cost</t>
  </si>
  <si>
    <t>Fleet Cost (Year 0)</t>
  </si>
  <si>
    <t>Start-up cost (Year 0)</t>
  </si>
  <si>
    <t>Debt Allocated to this service/route (Year 0)</t>
  </si>
  <si>
    <t>Alternative Vessel Types</t>
  </si>
  <si>
    <t>Annual Debt Payment</t>
  </si>
  <si>
    <t xml:space="preserve">Equity Investment </t>
  </si>
  <si>
    <t>Depreciated Fleet Value after Year 10</t>
  </si>
  <si>
    <t>Operating Cost per vessel hour</t>
  </si>
  <si>
    <t>Operating Cost per operating hour</t>
  </si>
  <si>
    <t>Operating cost per operating hour (Year 1)</t>
  </si>
  <si>
    <t>Fleet Size (including spare vessel)</t>
  </si>
  <si>
    <t>(low)</t>
  </si>
  <si>
    <t>(high)</t>
  </si>
  <si>
    <t>Direct Labor cost per Vessel</t>
  </si>
  <si>
    <t>Fully Loaded Labor Cost per Vessel</t>
  </si>
  <si>
    <t>Fuel and Lubricant Cost per Vessel hour</t>
  </si>
  <si>
    <t>VESSEL DATA</t>
  </si>
  <si>
    <t>VESSEL PURCHASE PRICE</t>
  </si>
  <si>
    <t>VESSEL HOURLY OPERATING COSTS</t>
  </si>
  <si>
    <t>Hourly Maintenance Cost</t>
  </si>
  <si>
    <t>Hourly Insurance Cost</t>
  </si>
  <si>
    <t>Total Hourly Operating Cost per Vessel</t>
  </si>
  <si>
    <t>Annual Insurance Cost</t>
  </si>
  <si>
    <t>FIXED OPERATING COSTS</t>
  </si>
  <si>
    <t>VESSEL SERVICE FUNDAMENTALS</t>
  </si>
  <si>
    <t>Round-trip time (minutes)</t>
  </si>
  <si>
    <t>Passenger capacity/vessel-hr</t>
  </si>
  <si>
    <t>Minimum Service Vessels Needed</t>
  </si>
  <si>
    <t>Fleet cost allocated to this service/route</t>
  </si>
  <si>
    <t>Capital Costs Incurred</t>
  </si>
  <si>
    <t>Annual Operating Costs Incurred</t>
  </si>
  <si>
    <t>Service Speed (knots)</t>
  </si>
  <si>
    <t>Fleet Overview</t>
  </si>
  <si>
    <t>Estimated Cost per Vessel</t>
  </si>
  <si>
    <t>Total Vessel Hours</t>
  </si>
  <si>
    <t>Average Headway (min)</t>
  </si>
  <si>
    <t>Manual Fleet</t>
  </si>
  <si>
    <t>Spare Vessels</t>
  </si>
  <si>
    <t>Estimated cost per vessel (low)</t>
  </si>
  <si>
    <t>Estimated cost per vessel (high)</t>
  </si>
  <si>
    <t>Total fleet cost (low)</t>
  </si>
  <si>
    <t>Total fleet cost (high)</t>
  </si>
  <si>
    <t>Total fleet cost (average)</t>
  </si>
  <si>
    <t>Fleet Cost, Low (Year 0)</t>
  </si>
  <si>
    <t>Capital Costs Incurred (Avg)</t>
  </si>
  <si>
    <t>LOW</t>
  </si>
  <si>
    <t>HIGH</t>
  </si>
  <si>
    <t>AVERAGE</t>
  </si>
  <si>
    <t>Fleet Cost</t>
  </si>
  <si>
    <t>Cost Summary(Average)</t>
  </si>
  <si>
    <t>Average</t>
  </si>
  <si>
    <t>Low Delta</t>
  </si>
  <si>
    <t>High Delta</t>
  </si>
  <si>
    <t>AVERAGE COSTS</t>
  </si>
  <si>
    <t>Capital cost per operating hour (Year 1)</t>
  </si>
  <si>
    <t>NPV of costs only (Year 0-15)</t>
  </si>
  <si>
    <t>Total Cost per operating hour</t>
  </si>
  <si>
    <t xml:space="preserve">Low Delta </t>
  </si>
  <si>
    <t>Vessel owner equity / down payment  (as % of vessel costs)</t>
  </si>
  <si>
    <t>Peak Season</t>
  </si>
  <si>
    <t>What is the estimated daily passenger demand?</t>
  </si>
  <si>
    <t>How many days in the peak season?</t>
  </si>
  <si>
    <t>Shoulder Season</t>
  </si>
  <si>
    <t>Off-Season</t>
  </si>
  <si>
    <t>How many hours per day will the service operate during peak season?</t>
  </si>
  <si>
    <t>How many days in the shoulder season?</t>
  </si>
  <si>
    <t>How many hours per day will the service operate during shoulder season?</t>
  </si>
  <si>
    <t>Will the service operate year-round?</t>
  </si>
  <si>
    <t>If not: How many days will the vessels operate on other routes/services?</t>
  </si>
  <si>
    <t>Total operating hours on this route/service</t>
  </si>
  <si>
    <t>What is the estimated peak hour passenger demand on the peak segment?</t>
  </si>
  <si>
    <t>Annual Marketing, Ad, Overhead Cost</t>
  </si>
  <si>
    <t>Peak season: peak hour factor (k)</t>
  </si>
  <si>
    <t>Shoulder season: peak hour factor (k)</t>
  </si>
  <si>
    <t>Shoulder season: average off peak hourly volume</t>
  </si>
  <si>
    <t>Peak season: average off peak hourly volume</t>
  </si>
  <si>
    <t>Peak Season, Peak hours</t>
  </si>
  <si>
    <t>Service Vessels Needed</t>
  </si>
  <si>
    <t>Crew needed</t>
  </si>
  <si>
    <t>Operating Hours</t>
  </si>
  <si>
    <t>Peak Season, Off-Peak hours</t>
  </si>
  <si>
    <t>Shoulder Season, Peak hours</t>
  </si>
  <si>
    <t>Shoulder Season, Off-Peak hours</t>
  </si>
  <si>
    <t>Total Operating Hours</t>
  </si>
  <si>
    <t>Can spare vessels be used elsewhere during the shoulder season?</t>
  </si>
  <si>
    <t>Percent of vessel-days allocated to this service</t>
  </si>
  <si>
    <t xml:space="preserve">Total Fleet Cost </t>
  </si>
  <si>
    <t>New</t>
  </si>
  <si>
    <t>1-5 Years</t>
  </si>
  <si>
    <t>6-10 Years</t>
  </si>
  <si>
    <t>11-20 Years</t>
  </si>
  <si>
    <t>21-30 Years</t>
  </si>
  <si>
    <t>More than 30 Years old</t>
  </si>
  <si>
    <t>Cost per Passenger (Year 1)</t>
  </si>
  <si>
    <t>Cost per passenger trip (Year 1)</t>
  </si>
  <si>
    <t>Cost per vessel-hour (Year 1)</t>
  </si>
  <si>
    <t>Direct Expenses</t>
  </si>
  <si>
    <t>D</t>
  </si>
  <si>
    <t>I</t>
  </si>
  <si>
    <t>F</t>
  </si>
  <si>
    <t>S</t>
  </si>
  <si>
    <t>Operating</t>
  </si>
  <si>
    <t>Indirect Expenses</t>
  </si>
  <si>
    <t>Fixed Expenses</t>
  </si>
  <si>
    <t>Annual Direct Costs Incurred</t>
  </si>
  <si>
    <t>Annual Change in diesel cost/gallon</t>
  </si>
  <si>
    <t>Annual Indirect Costs Incurred</t>
  </si>
  <si>
    <t>Annual Fixed Costs Incurred</t>
  </si>
  <si>
    <t>Average age of purchased vessels</t>
  </si>
  <si>
    <t xml:space="preserve">Financing </t>
  </si>
  <si>
    <t xml:space="preserve">Investment </t>
  </si>
  <si>
    <t>TOTAL COST
(Year 0-15)</t>
  </si>
  <si>
    <t>NPV  of Total Cost</t>
  </si>
  <si>
    <t>Direct Operating Costs</t>
  </si>
  <si>
    <t>Indirect Operating Costs</t>
  </si>
  <si>
    <t>Capital Investment</t>
  </si>
  <si>
    <t>Finance Payments</t>
  </si>
  <si>
    <t>Fixed Operating Costs</t>
  </si>
  <si>
    <t>Year 1 Total Operating Costs</t>
  </si>
  <si>
    <t>crew required for full fleet</t>
  </si>
  <si>
    <t>Sufficient Capacity?</t>
  </si>
  <si>
    <t>Peak Demand</t>
  </si>
  <si>
    <t xml:space="preserve">Fleet Cost </t>
  </si>
  <si>
    <t>Average Cost Summary</t>
  </si>
  <si>
    <t>NPV of Total Cost 
(Year 0-15)</t>
  </si>
  <si>
    <t>Loan period (years)</t>
  </si>
  <si>
    <t>31-50 Pax Pontoon</t>
  </si>
  <si>
    <t>31-50 Pax Mono or Cat</t>
  </si>
  <si>
    <t>12-30 Pax Skiff</t>
  </si>
  <si>
    <t>51-100 Pax, &lt;20kt</t>
  </si>
  <si>
    <t>101-150 Pax, &lt;20kt</t>
  </si>
  <si>
    <t>101-150 Pax, &gt;20kt</t>
  </si>
  <si>
    <t>151-300 Pax</t>
  </si>
  <si>
    <t>Depreciated Fleet Value</t>
  </si>
  <si>
    <t>Fuel Efficiency @5 knots (gph)</t>
  </si>
  <si>
    <t>What is the estimated round-trip route distance in nautical miles?</t>
  </si>
  <si>
    <t>Idle Fuel Efficiency (gph)</t>
  </si>
  <si>
    <t>Fuel round-trip (gal)</t>
  </si>
  <si>
    <t xml:space="preserve">Typical Max Speed </t>
  </si>
  <si>
    <t>Typical Vessel Characteristics</t>
  </si>
  <si>
    <t>Cost per Vessel</t>
  </si>
  <si>
    <t>Cost per vessel</t>
  </si>
  <si>
    <t>Equity Investment</t>
  </si>
  <si>
    <t>Vessel days on other routes</t>
  </si>
  <si>
    <t>Vessel days on this route</t>
  </si>
  <si>
    <t>Fuel Efficiency @ service speed (gph)</t>
  </si>
  <si>
    <t>Marketing, Advertising, Management, Overhead</t>
  </si>
  <si>
    <t>Assume 1/2 peak and off-peak hours during each season</t>
  </si>
  <si>
    <t>Typical Vessels</t>
  </si>
  <si>
    <t>On average, how old will the vessels used for the service be?</t>
  </si>
  <si>
    <t>51-100 Pax, &gt;20kt</t>
  </si>
  <si>
    <t>Annual Marketing, Admin cost per passenger</t>
  </si>
  <si>
    <t>Percent of Vessel Hours at Idle</t>
  </si>
  <si>
    <t>Percent of Vessel Hours at Slow Speed</t>
  </si>
  <si>
    <t>Percent of Vessel Hours at Service Speed</t>
  </si>
  <si>
    <t>Is this a new service, or will it be a new route added to an existing system?</t>
  </si>
  <si>
    <t>New Service</t>
  </si>
  <si>
    <t>Added Route</t>
  </si>
  <si>
    <t>RORO &lt;500 Pax, &lt;50 Veh</t>
  </si>
  <si>
    <t>RORO &lt;500 Pax, &lt;10 Veh</t>
  </si>
  <si>
    <t>RORO &lt;100 Pax, &lt;10 Veh</t>
  </si>
  <si>
    <t>RORO 250-500 Pax, 45-100 Veh</t>
  </si>
  <si>
    <t>Labor Overhead Rate</t>
  </si>
  <si>
    <t>Crew Hours/Vessel Operating Hours</t>
  </si>
  <si>
    <t>Minimum Headway (min)</t>
  </si>
  <si>
    <t>Maximum Headway (min)</t>
  </si>
  <si>
    <t>Annual Finance Payment</t>
  </si>
  <si>
    <t>Service Overview</t>
  </si>
  <si>
    <t>Number of Vessels 
(including spare)</t>
  </si>
  <si>
    <t xml:space="preserve">See MANUAL </t>
  </si>
  <si>
    <t>Loan Interest rate</t>
  </si>
  <si>
    <t>ENTER VALUE</t>
  </si>
  <si>
    <t>SELECT APPROPRIATE VALUE (OR DEFAULT)</t>
  </si>
  <si>
    <t>TOTAL COST
(Year 0-25)</t>
  </si>
  <si>
    <t>Total Cost (Year 0-25)</t>
  </si>
  <si>
    <t>Total Operating Costs (Year 0-25 )</t>
  </si>
  <si>
    <t>Total Capital Costs (Year 0-25 )</t>
  </si>
  <si>
    <t>Depreciated Fleet Value after Year 25</t>
  </si>
  <si>
    <t>Depreciated Fleet Value Year 25</t>
  </si>
  <si>
    <t>Total Operating Costs (Year 0-25)</t>
  </si>
  <si>
    <t>Total Capital Costs (Year 0-25)</t>
  </si>
  <si>
    <t>Total Cost (Year 0-25 NPV)</t>
  </si>
  <si>
    <t>Total Operating Costs (Year 0-40)</t>
  </si>
  <si>
    <t>Total Capital Costs (Year 0-40)</t>
  </si>
  <si>
    <t>Total Cost (Year 0-40 NPV)</t>
  </si>
  <si>
    <t>TOTAL COST
(Year 0-40)</t>
  </si>
  <si>
    <t>NPV of Total Cost 
(Year 0-40)</t>
  </si>
  <si>
    <t>Total Operating Costs (Year 0-40 )</t>
  </si>
  <si>
    <t>Total Capital Costs (Year 0-40 )</t>
  </si>
  <si>
    <t>Depreciated Fleet Value after Year 40</t>
  </si>
  <si>
    <t>See MANUAL RORO</t>
  </si>
  <si>
    <t>Total Cost (Year 0-40)</t>
  </si>
  <si>
    <t>Depreciated Fleet Value Year 40</t>
  </si>
  <si>
    <t>CHART VALUES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</si>
  <si>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</si>
  <si>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</si>
  <si>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</si>
  <si>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</si>
  <si>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</si>
  <si>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</si>
  <si>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</si>
  <si>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</si>
  <si>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</si>
  <si>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</si>
  <si>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</si>
  <si>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</si>
  <si>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</si>
  <si>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</si>
  <si>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</si>
  <si>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</si>
  <si>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</si>
  <si>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</si>
  <si>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</si>
  <si>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</si>
  <si>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</si>
  <si>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</si>
  <si>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</si>
  <si>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</si>
  <si>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</si>
  <si>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</si>
  <si>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</si>
  <si>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</si>
  <si>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</si>
  <si>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</si>
  <si>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</si>
  <si>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</si>
  <si>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</si>
  <si>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</si>
  <si>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</si>
  <si>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</si>
  <si>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</si>
  <si>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</si>
  <si>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</si>
  <si>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</si>
  <si>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</si>
  <si>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Operating Cost</t>
  </si>
  <si>
    <t>ESTIMATED AVERAGE COSTS</t>
  </si>
  <si>
    <t>Least Cost Option:</t>
  </si>
  <si>
    <t>Vessels</t>
  </si>
  <si>
    <t>&lt;100 Pax, &lt;10 Veh</t>
  </si>
  <si>
    <t xml:space="preserve"> &lt;500 Pax, &lt;10 Veh</t>
  </si>
  <si>
    <t>&lt;500 Pax, &lt;50 Veh</t>
  </si>
  <si>
    <t>250-500 Pax, 45-100 Veh</t>
  </si>
  <si>
    <t>Capital Cost (Debt Repayment/Lease)</t>
  </si>
  <si>
    <t>*Note: All costs in year 2010 dollars</t>
  </si>
  <si>
    <t>Least Cost Option?</t>
  </si>
  <si>
    <t>Price of vessels as % of new price</t>
  </si>
  <si>
    <t>Drop Down List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</si>
</sst>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0"/>
    <numFmt numFmtId="168" formatCode="_(* #,##0_);_(* \(#,##0\);_(* &quot;-&quot;???_);_(@_)"/>
    <numFmt numFmtId="169" formatCode="0.0"/>
    <numFmt numFmtId="170" formatCode="0.0000000000000"/>
    <numFmt numFmtId="171" formatCode="_(* #,##0.0_);_(* \(#,##0.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0061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rgb="FF9C6500"/>
      <name val="Calibri"/>
      <family val="2"/>
      <scheme val="minor"/>
    </font>
    <font>
      <b/>
      <sz val="9"/>
      <color rgb="FF9C65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rgb="FF9C65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9C65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7" fillId="3" borderId="0" applyNumberFormat="0" applyBorder="0" applyAlignment="0" applyProtection="0"/>
    <xf numFmtId="0" fontId="21" fillId="9" borderId="32" applyNumberFormat="0" applyAlignment="0" applyProtection="0"/>
    <xf numFmtId="0" fontId="31" fillId="10" borderId="0" applyNumberFormat="0" applyBorder="0" applyAlignment="0" applyProtection="0"/>
  </cellStyleXfs>
  <cellXfs count="4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2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 vertical="center"/>
    </xf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0" borderId="9" xfId="0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/>
    </xf>
    <xf numFmtId="165" fontId="7" fillId="3" borderId="2" xfId="2" applyNumberFormat="1" applyFont="1" applyFill="1" applyBorder="1" applyAlignment="1">
      <alignment horizontal="center"/>
    </xf>
    <xf numFmtId="165" fontId="10" fillId="3" borderId="2" xfId="2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11" fillId="0" borderId="10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1" fontId="0" fillId="0" borderId="13" xfId="0" applyNumberFormat="1" applyBorder="1"/>
    <xf numFmtId="1" fontId="0" fillId="0" borderId="14" xfId="0" applyNumberFormat="1" applyBorder="1"/>
    <xf numFmtId="0" fontId="0" fillId="0" borderId="12" xfId="0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/>
    <xf numFmtId="164" fontId="0" fillId="0" borderId="13" xfId="1" applyNumberFormat="1" applyFont="1" applyBorder="1" applyAlignment="1">
      <alignment horizontal="right"/>
    </xf>
    <xf numFmtId="9" fontId="7" fillId="3" borderId="13" xfId="3" applyFont="1" applyFill="1" applyBorder="1" applyAlignment="1">
      <alignment horizontal="left"/>
    </xf>
    <xf numFmtId="1" fontId="7" fillId="3" borderId="13" xfId="5" applyNumberFormat="1" applyBorder="1" applyAlignment="1">
      <alignment horizontal="center"/>
    </xf>
    <xf numFmtId="0" fontId="7" fillId="3" borderId="13" xfId="5" applyBorder="1" applyAlignment="1">
      <alignment horizontal="center"/>
    </xf>
    <xf numFmtId="0" fontId="0" fillId="0" borderId="4" xfId="0" applyFill="1" applyBorder="1" applyAlignment="1">
      <alignment horizontal="right"/>
    </xf>
    <xf numFmtId="1" fontId="7" fillId="0" borderId="2" xfId="5" applyNumberFormat="1" applyFill="1" applyBorder="1" applyAlignment="1">
      <alignment horizontal="center"/>
    </xf>
    <xf numFmtId="165" fontId="10" fillId="3" borderId="6" xfId="2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7" fillId="0" borderId="2" xfId="2" applyNumberFormat="1" applyFont="1" applyFill="1" applyBorder="1" applyAlignment="1">
      <alignment horizontal="center"/>
    </xf>
    <xf numFmtId="165" fontId="7" fillId="0" borderId="15" xfId="2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19" xfId="0" applyBorder="1" applyAlignment="1">
      <alignment horizontal="right"/>
    </xf>
    <xf numFmtId="9" fontId="0" fillId="0" borderId="0" xfId="3" applyFont="1"/>
    <xf numFmtId="0" fontId="12" fillId="5" borderId="2" xfId="4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Font="1" applyBorder="1" applyAlignment="1">
      <alignment horizontal="right" wrapText="1"/>
    </xf>
    <xf numFmtId="0" fontId="12" fillId="0" borderId="2" xfId="4" applyFont="1" applyFill="1" applyBorder="1" applyAlignment="1">
      <alignment horizontal="center"/>
    </xf>
    <xf numFmtId="165" fontId="10" fillId="3" borderId="6" xfId="2" applyNumberFormat="1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 wrapText="1"/>
    </xf>
    <xf numFmtId="0" fontId="9" fillId="5" borderId="2" xfId="4" applyFont="1" applyFill="1" applyBorder="1" applyAlignment="1">
      <alignment horizontal="center" wrapText="1"/>
    </xf>
    <xf numFmtId="164" fontId="13" fillId="0" borderId="2" xfId="1" applyNumberFormat="1" applyFont="1" applyBorder="1"/>
    <xf numFmtId="0" fontId="0" fillId="0" borderId="4" xfId="0" applyFill="1" applyBorder="1" applyAlignment="1">
      <alignment horizontal="right" wrapText="1"/>
    </xf>
    <xf numFmtId="0" fontId="14" fillId="0" borderId="21" xfId="0" applyFont="1" applyBorder="1"/>
    <xf numFmtId="0" fontId="3" fillId="0" borderId="20" xfId="0" applyFont="1" applyBorder="1" applyAlignment="1">
      <alignment horizontal="right" wrapText="1"/>
    </xf>
    <xf numFmtId="165" fontId="15" fillId="3" borderId="2" xfId="2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/>
    </xf>
    <xf numFmtId="165" fontId="15" fillId="0" borderId="2" xfId="2" applyNumberFormat="1" applyFont="1" applyFill="1" applyBorder="1" applyAlignment="1">
      <alignment horizontal="center" vertical="center"/>
    </xf>
    <xf numFmtId="6" fontId="13" fillId="0" borderId="0" xfId="0" applyNumberFormat="1" applyFont="1"/>
    <xf numFmtId="0" fontId="3" fillId="0" borderId="0" xfId="0" applyFont="1" applyFill="1" applyBorder="1" applyAlignment="1">
      <alignment horizontal="right" wrapText="1"/>
    </xf>
    <xf numFmtId="0" fontId="0" fillId="6" borderId="2" xfId="0" applyFill="1" applyBorder="1"/>
    <xf numFmtId="0" fontId="0" fillId="6" borderId="0" xfId="0" applyFill="1"/>
    <xf numFmtId="0" fontId="3" fillId="6" borderId="2" xfId="0" applyFont="1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164" fontId="0" fillId="0" borderId="25" xfId="1" applyNumberFormat="1" applyFont="1" applyBorder="1" applyAlignment="1">
      <alignment horizontal="right"/>
    </xf>
    <xf numFmtId="0" fontId="0" fillId="0" borderId="10" xfId="0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7" xfId="0" applyBorder="1" applyAlignment="1">
      <alignment horizontal="right"/>
    </xf>
    <xf numFmtId="165" fontId="7" fillId="3" borderId="26" xfId="2" applyNumberFormat="1" applyFont="1" applyFill="1" applyBorder="1" applyAlignment="1">
      <alignment horizontal="center"/>
    </xf>
    <xf numFmtId="0" fontId="0" fillId="0" borderId="27" xfId="0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1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0" fillId="0" borderId="30" xfId="0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  <xf numFmtId="0" fontId="17" fillId="0" borderId="4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3" xfId="2" applyNumberFormat="1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165" fontId="0" fillId="0" borderId="13" xfId="2" applyNumberFormat="1" applyFont="1" applyBorder="1" applyAlignment="1">
      <alignment horizontal="right"/>
    </xf>
    <xf numFmtId="0" fontId="0" fillId="0" borderId="31" xfId="0" applyFill="1" applyBorder="1" applyAlignment="1">
      <alignment horizontal="right"/>
    </xf>
    <xf numFmtId="165" fontId="7" fillId="3" borderId="28" xfId="2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right" wrapText="1"/>
    </xf>
    <xf numFmtId="0" fontId="3" fillId="0" borderId="24" xfId="0" applyFont="1" applyBorder="1" applyAlignment="1">
      <alignment horizontal="right"/>
    </xf>
    <xf numFmtId="0" fontId="18" fillId="0" borderId="24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 wrapText="1"/>
    </xf>
    <xf numFmtId="0" fontId="0" fillId="0" borderId="24" xfId="0" applyFill="1" applyBorder="1" applyAlignment="1">
      <alignment horizontal="right" wrapText="1"/>
    </xf>
    <xf numFmtId="0" fontId="3" fillId="0" borderId="24" xfId="0" applyFont="1" applyFill="1" applyBorder="1" applyAlignment="1">
      <alignment horizontal="right"/>
    </xf>
    <xf numFmtId="0" fontId="18" fillId="0" borderId="24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7" fillId="0" borderId="0" xfId="2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wrapText="1"/>
    </xf>
    <xf numFmtId="0" fontId="19" fillId="0" borderId="4" xfId="0" applyFont="1" applyBorder="1" applyAlignment="1">
      <alignment horizontal="right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65" fontId="7" fillId="3" borderId="2" xfId="2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 wrapText="1"/>
    </xf>
    <xf numFmtId="0" fontId="0" fillId="0" borderId="30" xfId="0" applyFill="1" applyBorder="1" applyAlignment="1">
      <alignment horizontal="right" vertical="center" wrapText="1"/>
    </xf>
    <xf numFmtId="0" fontId="8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8" borderId="0" xfId="0" applyFont="1" applyFill="1"/>
    <xf numFmtId="165" fontId="3" fillId="0" borderId="0" xfId="0" applyNumberFormat="1" applyFont="1"/>
    <xf numFmtId="0" fontId="3" fillId="0" borderId="0" xfId="0" applyFont="1"/>
    <xf numFmtId="164" fontId="20" fillId="0" borderId="2" xfId="1" applyNumberFormat="1" applyFont="1" applyBorder="1"/>
    <xf numFmtId="44" fontId="0" fillId="0" borderId="0" xfId="2" applyFont="1"/>
    <xf numFmtId="0" fontId="7" fillId="3" borderId="2" xfId="5" applyBorder="1" applyAlignment="1">
      <alignment vertical="center" wrapText="1"/>
    </xf>
    <xf numFmtId="2" fontId="7" fillId="3" borderId="2" xfId="5" applyNumberFormat="1" applyBorder="1" applyAlignment="1">
      <alignment vertical="center" wrapText="1"/>
    </xf>
    <xf numFmtId="1" fontId="7" fillId="3" borderId="2" xfId="5" applyNumberFormat="1" applyBorder="1" applyAlignment="1">
      <alignment vertical="center" wrapText="1"/>
    </xf>
    <xf numFmtId="0" fontId="8" fillId="0" borderId="12" xfId="0" applyFont="1" applyBorder="1" applyAlignment="1">
      <alignment horizontal="left"/>
    </xf>
    <xf numFmtId="9" fontId="7" fillId="0" borderId="2" xfId="5" applyNumberFormat="1" applyFill="1" applyBorder="1" applyAlignment="1">
      <alignment horizontal="right" vertical="center"/>
    </xf>
    <xf numFmtId="1" fontId="0" fillId="0" borderId="2" xfId="0" applyNumberFormat="1" applyBorder="1"/>
    <xf numFmtId="0" fontId="0" fillId="0" borderId="2" xfId="0" applyFill="1" applyBorder="1"/>
    <xf numFmtId="168" fontId="0" fillId="0" borderId="2" xfId="0" applyNumberFormat="1" applyBorder="1"/>
    <xf numFmtId="0" fontId="17" fillId="0" borderId="2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/>
    </xf>
    <xf numFmtId="164" fontId="0" fillId="0" borderId="2" xfId="0" applyNumberFormat="1" applyBorder="1"/>
    <xf numFmtId="165" fontId="0" fillId="0" borderId="2" xfId="2" applyNumberFormat="1" applyFont="1" applyBorder="1"/>
    <xf numFmtId="165" fontId="0" fillId="0" borderId="2" xfId="0" applyNumberFormat="1" applyBorder="1"/>
    <xf numFmtId="167" fontId="0" fillId="0" borderId="2" xfId="0" applyNumberFormat="1" applyBorder="1"/>
    <xf numFmtId="2" fontId="0" fillId="0" borderId="2" xfId="0" applyNumberFormat="1" applyBorder="1"/>
    <xf numFmtId="0" fontId="17" fillId="0" borderId="2" xfId="0" applyFont="1" applyFill="1" applyBorder="1" applyAlignment="1">
      <alignment horizontal="right" wrapText="1"/>
    </xf>
    <xf numFmtId="0" fontId="17" fillId="0" borderId="2" xfId="0" applyFont="1" applyFill="1" applyBorder="1" applyAlignment="1">
      <alignment horizontal="right"/>
    </xf>
    <xf numFmtId="165" fontId="2" fillId="0" borderId="2" xfId="0" applyNumberFormat="1" applyFont="1" applyBorder="1"/>
    <xf numFmtId="164" fontId="22" fillId="0" borderId="2" xfId="1" applyNumberFormat="1" applyFont="1" applyBorder="1"/>
    <xf numFmtId="165" fontId="16" fillId="0" borderId="2" xfId="2" applyNumberFormat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65" fontId="10" fillId="3" borderId="0" xfId="2" applyNumberFormat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right" vertical="center" wrapText="1"/>
    </xf>
    <xf numFmtId="0" fontId="19" fillId="0" borderId="0" xfId="0" applyFont="1"/>
    <xf numFmtId="165" fontId="7" fillId="3" borderId="0" xfId="2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3" fillId="0" borderId="34" xfId="0" applyFont="1" applyBorder="1" applyAlignment="1">
      <alignment horizontal="left" vertical="center" wrapText="1"/>
    </xf>
    <xf numFmtId="164" fontId="7" fillId="3" borderId="13" xfId="1" applyNumberFormat="1" applyFont="1" applyFill="1" applyBorder="1" applyAlignment="1">
      <alignment horizontal="center"/>
    </xf>
    <xf numFmtId="0" fontId="12" fillId="5" borderId="0" xfId="4" applyFont="1" applyFill="1" applyBorder="1" applyAlignment="1">
      <alignment horizontal="center"/>
    </xf>
    <xf numFmtId="0" fontId="12" fillId="5" borderId="30" xfId="4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1" fontId="12" fillId="0" borderId="0" xfId="4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/>
    </xf>
    <xf numFmtId="0" fontId="3" fillId="0" borderId="34" xfId="0" applyFont="1" applyFill="1" applyBorder="1" applyAlignment="1">
      <alignment horizontal="right"/>
    </xf>
    <xf numFmtId="164" fontId="7" fillId="3" borderId="35" xfId="1" applyNumberFormat="1" applyFont="1" applyFill="1" applyBorder="1" applyAlignment="1">
      <alignment horizontal="center"/>
    </xf>
    <xf numFmtId="164" fontId="7" fillId="5" borderId="0" xfId="1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34" xfId="0" applyFill="1" applyBorder="1" applyAlignment="1">
      <alignment horizontal="right"/>
    </xf>
    <xf numFmtId="0" fontId="0" fillId="5" borderId="0" xfId="0" applyFill="1"/>
    <xf numFmtId="0" fontId="0" fillId="5" borderId="34" xfId="0" applyFill="1" applyBorder="1"/>
    <xf numFmtId="0" fontId="14" fillId="0" borderId="21" xfId="0" applyFont="1" applyBorder="1" applyAlignment="1">
      <alignment horizontal="right"/>
    </xf>
    <xf numFmtId="0" fontId="12" fillId="5" borderId="2" xfId="4" applyFont="1" applyFill="1" applyBorder="1" applyAlignment="1">
      <alignment horizontal="left"/>
    </xf>
    <xf numFmtId="0" fontId="3" fillId="0" borderId="4" xfId="0" applyFont="1" applyFill="1" applyBorder="1" applyAlignment="1"/>
    <xf numFmtId="0" fontId="3" fillId="0" borderId="4" xfId="0" applyFont="1" applyBorder="1" applyAlignment="1"/>
    <xf numFmtId="165" fontId="7" fillId="0" borderId="26" xfId="2" applyNumberFormat="1" applyFont="1" applyFill="1" applyBorder="1" applyAlignment="1">
      <alignment horizontal="center"/>
    </xf>
    <xf numFmtId="165" fontId="7" fillId="0" borderId="0" xfId="2" applyNumberFormat="1" applyFont="1" applyFill="1" applyBorder="1" applyAlignment="1">
      <alignment horizontal="center" vertical="center"/>
    </xf>
    <xf numFmtId="165" fontId="10" fillId="0" borderId="0" xfId="2" applyNumberFormat="1" applyFont="1" applyFill="1" applyBorder="1" applyAlignment="1">
      <alignment horizontal="center" vertical="center"/>
    </xf>
    <xf numFmtId="6" fontId="13" fillId="0" borderId="0" xfId="0" applyNumberFormat="1" applyFont="1" applyFill="1"/>
    <xf numFmtId="44" fontId="0" fillId="0" borderId="0" xfId="2" applyFont="1" applyFill="1"/>
    <xf numFmtId="0" fontId="14" fillId="0" borderId="21" xfId="0" applyFont="1" applyBorder="1" applyAlignment="1">
      <alignment wrapText="1"/>
    </xf>
    <xf numFmtId="0" fontId="3" fillId="0" borderId="12" xfId="0" applyFont="1" applyBorder="1" applyAlignment="1">
      <alignment horizontal="right" wrapText="1"/>
    </xf>
    <xf numFmtId="164" fontId="26" fillId="0" borderId="2" xfId="1" applyNumberFormat="1" applyFont="1" applyFill="1" applyBorder="1" applyAlignment="1">
      <alignment horizontal="center" vertical="center"/>
    </xf>
    <xf numFmtId="165" fontId="26" fillId="0" borderId="2" xfId="2" applyNumberFormat="1" applyFont="1" applyFill="1" applyBorder="1" applyAlignment="1">
      <alignment horizontal="center" vertical="center"/>
    </xf>
    <xf numFmtId="165" fontId="15" fillId="0" borderId="2" xfId="2" applyNumberFormat="1" applyFont="1" applyFill="1" applyBorder="1" applyAlignment="1">
      <alignment horizontal="center"/>
    </xf>
    <xf numFmtId="0" fontId="30" fillId="0" borderId="4" xfId="0" applyFont="1" applyBorder="1" applyAlignment="1">
      <alignment horizontal="left"/>
    </xf>
    <xf numFmtId="164" fontId="29" fillId="0" borderId="0" xfId="0" applyNumberFormat="1" applyFont="1"/>
    <xf numFmtId="0" fontId="3" fillId="0" borderId="20" xfId="0" applyFont="1" applyBorder="1" applyAlignment="1">
      <alignment horizontal="right" vertical="center" wrapText="1"/>
    </xf>
    <xf numFmtId="0" fontId="6" fillId="0" borderId="2" xfId="0" applyFont="1" applyBorder="1"/>
    <xf numFmtId="0" fontId="6" fillId="0" borderId="2" xfId="0" applyFont="1" applyFill="1" applyBorder="1" applyAlignment="1">
      <alignment horizontal="right"/>
    </xf>
    <xf numFmtId="0" fontId="25" fillId="0" borderId="2" xfId="0" applyFont="1" applyBorder="1"/>
    <xf numFmtId="0" fontId="25" fillId="0" borderId="2" xfId="0" applyFont="1" applyFill="1" applyBorder="1" applyAlignment="1">
      <alignment horizontal="right"/>
    </xf>
    <xf numFmtId="169" fontId="0" fillId="0" borderId="0" xfId="0" applyNumberFormat="1"/>
    <xf numFmtId="1" fontId="0" fillId="0" borderId="0" xfId="0" applyNumberFormat="1"/>
    <xf numFmtId="170" fontId="0" fillId="0" borderId="0" xfId="0" applyNumberFormat="1"/>
    <xf numFmtId="0" fontId="6" fillId="0" borderId="12" xfId="0" applyFont="1" applyBorder="1" applyAlignment="1">
      <alignment horizontal="right"/>
    </xf>
    <xf numFmtId="0" fontId="12" fillId="7" borderId="0" xfId="4" applyFont="1" applyFill="1" applyBorder="1" applyAlignment="1">
      <alignment horizontal="center"/>
    </xf>
    <xf numFmtId="164" fontId="7" fillId="3" borderId="13" xfId="1" applyNumberFormat="1" applyFont="1" applyFill="1" applyBorder="1" applyAlignment="1">
      <alignment horizontal="left"/>
    </xf>
    <xf numFmtId="0" fontId="0" fillId="0" borderId="0" xfId="0" applyBorder="1" applyAlignment="1">
      <alignment horizontal="right" wrapText="1"/>
    </xf>
    <xf numFmtId="9" fontId="7" fillId="0" borderId="0" xfId="5" applyNumberFormat="1" applyFill="1" applyBorder="1" applyAlignment="1">
      <alignment horizontal="right" vertical="center"/>
    </xf>
    <xf numFmtId="9" fontId="7" fillId="3" borderId="0" xfId="3" applyFont="1" applyFill="1" applyBorder="1" applyAlignment="1">
      <alignment horizontal="left"/>
    </xf>
    <xf numFmtId="9" fontId="7" fillId="3" borderId="13" xfId="3" applyFont="1" applyFill="1" applyBorder="1" applyAlignment="1">
      <alignment horizontal="right"/>
    </xf>
    <xf numFmtId="0" fontId="12" fillId="5" borderId="2" xfId="4" applyFont="1" applyFill="1" applyBorder="1" applyAlignment="1">
      <alignment horizontal="center" vertical="center" wrapText="1"/>
    </xf>
    <xf numFmtId="1" fontId="7" fillId="3" borderId="13" xfId="5" applyNumberFormat="1" applyBorder="1" applyAlignment="1">
      <alignment horizontal="right"/>
    </xf>
    <xf numFmtId="165" fontId="0" fillId="0" borderId="0" xfId="0" applyNumberFormat="1"/>
    <xf numFmtId="165" fontId="0" fillId="0" borderId="0" xfId="2" applyNumberFormat="1" applyFont="1"/>
    <xf numFmtId="164" fontId="0" fillId="0" borderId="0" xfId="1" applyNumberFormat="1" applyFont="1"/>
    <xf numFmtId="43" fontId="0" fillId="0" borderId="0" xfId="0" applyNumberFormat="1"/>
    <xf numFmtId="0" fontId="13" fillId="0" borderId="4" xfId="0" applyFont="1" applyBorder="1" applyAlignment="1">
      <alignment horizontal="right" wrapText="1"/>
    </xf>
    <xf numFmtId="0" fontId="12" fillId="5" borderId="2" xfId="4" applyFont="1" applyFill="1" applyBorder="1" applyAlignment="1">
      <alignment horizontal="center" wrapText="1"/>
    </xf>
    <xf numFmtId="0" fontId="0" fillId="0" borderId="0" xfId="0" applyFill="1" applyBorder="1" applyAlignment="1">
      <alignment horizontal="right" wrapText="1"/>
    </xf>
    <xf numFmtId="0" fontId="0" fillId="0" borderId="27" xfId="0" applyBorder="1" applyAlignment="1">
      <alignment horizontal="right" vertical="center" wrapText="1"/>
    </xf>
    <xf numFmtId="0" fontId="0" fillId="0" borderId="38" xfId="0" applyBorder="1"/>
    <xf numFmtId="165" fontId="7" fillId="7" borderId="39" xfId="2" applyNumberFormat="1" applyFont="1" applyFill="1" applyBorder="1" applyAlignment="1">
      <alignment horizontal="center"/>
    </xf>
    <xf numFmtId="165" fontId="7" fillId="7" borderId="40" xfId="2" applyNumberFormat="1" applyFont="1" applyFill="1" applyBorder="1" applyAlignment="1">
      <alignment horizontal="center"/>
    </xf>
    <xf numFmtId="0" fontId="3" fillId="0" borderId="5" xfId="0" applyFont="1" applyBorder="1" applyAlignment="1"/>
    <xf numFmtId="165" fontId="7" fillId="7" borderId="41" xfId="2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5" borderId="35" xfId="4" applyFont="1" applyFill="1" applyBorder="1" applyAlignment="1">
      <alignment horizontal="center" wrapText="1"/>
    </xf>
    <xf numFmtId="0" fontId="0" fillId="6" borderId="35" xfId="0" applyFill="1" applyBorder="1" applyAlignment="1">
      <alignment horizontal="center"/>
    </xf>
    <xf numFmtId="0" fontId="0" fillId="0" borderId="35" xfId="0" applyBorder="1"/>
    <xf numFmtId="0" fontId="0" fillId="0" borderId="35" xfId="0" applyFill="1" applyBorder="1" applyAlignment="1">
      <alignment horizontal="right"/>
    </xf>
    <xf numFmtId="1" fontId="0" fillId="0" borderId="35" xfId="0" applyNumberFormat="1" applyBorder="1"/>
    <xf numFmtId="0" fontId="0" fillId="0" borderId="35" xfId="0" applyFill="1" applyBorder="1"/>
    <xf numFmtId="0" fontId="0" fillId="6" borderId="35" xfId="0" applyFill="1" applyBorder="1"/>
    <xf numFmtId="164" fontId="13" fillId="0" borderId="35" xfId="1" applyNumberFormat="1" applyFont="1" applyBorder="1"/>
    <xf numFmtId="164" fontId="20" fillId="0" borderId="35" xfId="1" applyNumberFormat="1" applyFont="1" applyBorder="1"/>
    <xf numFmtId="168" fontId="0" fillId="0" borderId="35" xfId="0" applyNumberFormat="1" applyBorder="1"/>
    <xf numFmtId="164" fontId="0" fillId="0" borderId="35" xfId="0" applyNumberFormat="1" applyBorder="1"/>
    <xf numFmtId="165" fontId="0" fillId="0" borderId="35" xfId="2" applyNumberFormat="1" applyFont="1" applyBorder="1"/>
    <xf numFmtId="165" fontId="0" fillId="0" borderId="35" xfId="0" applyNumberFormat="1" applyBorder="1"/>
    <xf numFmtId="167" fontId="0" fillId="0" borderId="35" xfId="0" applyNumberFormat="1" applyBorder="1"/>
    <xf numFmtId="2" fontId="0" fillId="0" borderId="35" xfId="0" applyNumberFormat="1" applyBorder="1"/>
    <xf numFmtId="165" fontId="2" fillId="0" borderId="35" xfId="0" applyNumberFormat="1" applyFont="1" applyBorder="1"/>
    <xf numFmtId="0" fontId="9" fillId="5" borderId="42" xfId="4" applyFont="1" applyFill="1" applyBorder="1" applyAlignment="1">
      <alignment horizontal="center" wrapText="1"/>
    </xf>
    <xf numFmtId="0" fontId="0" fillId="6" borderId="42" xfId="0" applyFill="1" applyBorder="1" applyAlignment="1">
      <alignment horizontal="center"/>
    </xf>
    <xf numFmtId="0" fontId="0" fillId="0" borderId="42" xfId="0" applyBorder="1"/>
    <xf numFmtId="0" fontId="0" fillId="0" borderId="42" xfId="0" applyFill="1" applyBorder="1" applyAlignment="1">
      <alignment horizontal="right"/>
    </xf>
    <xf numFmtId="1" fontId="0" fillId="0" borderId="42" xfId="0" applyNumberFormat="1" applyBorder="1"/>
    <xf numFmtId="0" fontId="0" fillId="0" borderId="42" xfId="0" applyFill="1" applyBorder="1"/>
    <xf numFmtId="0" fontId="0" fillId="6" borderId="42" xfId="0" applyFill="1" applyBorder="1"/>
    <xf numFmtId="164" fontId="13" fillId="0" borderId="42" xfId="1" applyNumberFormat="1" applyFont="1" applyBorder="1"/>
    <xf numFmtId="164" fontId="20" fillId="0" borderId="42" xfId="1" applyNumberFormat="1" applyFont="1" applyBorder="1"/>
    <xf numFmtId="168" fontId="0" fillId="0" borderId="42" xfId="0" applyNumberFormat="1" applyBorder="1"/>
    <xf numFmtId="164" fontId="0" fillId="0" borderId="42" xfId="0" applyNumberFormat="1" applyBorder="1"/>
    <xf numFmtId="165" fontId="0" fillId="0" borderId="42" xfId="2" applyNumberFormat="1" applyFont="1" applyBorder="1"/>
    <xf numFmtId="165" fontId="0" fillId="0" borderId="42" xfId="0" applyNumberFormat="1" applyBorder="1"/>
    <xf numFmtId="167" fontId="0" fillId="0" borderId="42" xfId="0" applyNumberFormat="1" applyBorder="1"/>
    <xf numFmtId="2" fontId="0" fillId="0" borderId="42" xfId="0" applyNumberFormat="1" applyBorder="1"/>
    <xf numFmtId="165" fontId="2" fillId="0" borderId="42" xfId="0" applyNumberFormat="1" applyFont="1" applyBorder="1"/>
    <xf numFmtId="1" fontId="0" fillId="0" borderId="43" xfId="0" applyNumberFormat="1" applyBorder="1"/>
    <xf numFmtId="164" fontId="7" fillId="3" borderId="13" xfId="1" applyNumberFormat="1" applyFont="1" applyFill="1" applyBorder="1" applyAlignment="1"/>
    <xf numFmtId="0" fontId="0" fillId="0" borderId="0" xfId="0" applyAlignment="1"/>
    <xf numFmtId="0" fontId="7" fillId="3" borderId="13" xfId="5" applyBorder="1" applyAlignment="1"/>
    <xf numFmtId="1" fontId="7" fillId="3" borderId="13" xfId="5" applyNumberFormat="1" applyBorder="1" applyAlignment="1"/>
    <xf numFmtId="165" fontId="7" fillId="0" borderId="1" xfId="2" applyNumberFormat="1" applyFont="1" applyFill="1" applyBorder="1" applyAlignment="1">
      <alignment horizontal="center"/>
    </xf>
    <xf numFmtId="1" fontId="7" fillId="0" borderId="44" xfId="5" applyNumberFormat="1" applyFill="1" applyBorder="1" applyAlignment="1">
      <alignment horizontal="center"/>
    </xf>
    <xf numFmtId="0" fontId="12" fillId="0" borderId="0" xfId="4" applyFont="1" applyFill="1" applyBorder="1" applyAlignment="1">
      <alignment horizontal="center" wrapText="1"/>
    </xf>
    <xf numFmtId="164" fontId="7" fillId="0" borderId="0" xfId="1" applyNumberFormat="1" applyFont="1" applyFill="1" applyBorder="1" applyAlignment="1">
      <alignment horizontal="left"/>
    </xf>
    <xf numFmtId="9" fontId="7" fillId="0" borderId="0" xfId="3" applyFont="1" applyFill="1" applyBorder="1" applyAlignment="1">
      <alignment horizontal="right"/>
    </xf>
    <xf numFmtId="165" fontId="7" fillId="0" borderId="29" xfId="2" applyNumberFormat="1" applyFont="1" applyFill="1" applyBorder="1" applyAlignment="1">
      <alignment horizontal="center" vertical="center"/>
    </xf>
    <xf numFmtId="165" fontId="7" fillId="0" borderId="3" xfId="2" applyNumberFormat="1" applyFont="1" applyFill="1" applyBorder="1" applyAlignment="1">
      <alignment horizontal="center"/>
    </xf>
    <xf numFmtId="165" fontId="7" fillId="0" borderId="44" xfId="2" applyNumberFormat="1" applyFont="1" applyFill="1" applyBorder="1" applyAlignment="1">
      <alignment horizontal="center"/>
    </xf>
    <xf numFmtId="9" fontId="7" fillId="0" borderId="0" xfId="3" applyFont="1" applyFill="1" applyBorder="1" applyAlignment="1">
      <alignment horizontal="left"/>
    </xf>
    <xf numFmtId="0" fontId="2" fillId="8" borderId="0" xfId="0" applyFont="1" applyFill="1" applyAlignment="1">
      <alignment horizontal="right"/>
    </xf>
    <xf numFmtId="9" fontId="7" fillId="0" borderId="13" xfId="3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164" fontId="7" fillId="0" borderId="1" xfId="1" applyNumberFormat="1" applyFont="1" applyFill="1" applyBorder="1" applyAlignment="1">
      <alignment horizontal="center"/>
    </xf>
    <xf numFmtId="165" fontId="7" fillId="0" borderId="1" xfId="2" applyNumberFormat="1" applyFont="1" applyFill="1" applyBorder="1" applyAlignment="1">
      <alignment horizontal="center" vertical="center"/>
    </xf>
    <xf numFmtId="165" fontId="7" fillId="0" borderId="30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center"/>
    </xf>
    <xf numFmtId="165" fontId="10" fillId="0" borderId="8" xfId="2" applyNumberFormat="1" applyFont="1" applyFill="1" applyBorder="1" applyAlignment="1">
      <alignment horizontal="center"/>
    </xf>
    <xf numFmtId="165" fontId="0" fillId="0" borderId="0" xfId="0" applyNumberFormat="1" applyFill="1"/>
    <xf numFmtId="165" fontId="0" fillId="0" borderId="0" xfId="2" applyNumberFormat="1" applyFont="1" applyFill="1"/>
    <xf numFmtId="9" fontId="0" fillId="0" borderId="0" xfId="3" applyFont="1" applyFill="1"/>
    <xf numFmtId="164" fontId="0" fillId="0" borderId="0" xfId="1" applyNumberFormat="1" applyFont="1" applyFill="1"/>
    <xf numFmtId="1" fontId="0" fillId="0" borderId="0" xfId="0" applyNumberFormat="1" applyFill="1"/>
    <xf numFmtId="43" fontId="0" fillId="0" borderId="0" xfId="0" applyNumberFormat="1" applyFill="1"/>
    <xf numFmtId="165" fontId="10" fillId="0" borderId="6" xfId="2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right" wrapText="1"/>
    </xf>
    <xf numFmtId="0" fontId="20" fillId="11" borderId="4" xfId="4" applyFont="1" applyFill="1" applyBorder="1" applyAlignment="1">
      <alignment horizontal="right" wrapText="1"/>
    </xf>
    <xf numFmtId="165" fontId="20" fillId="11" borderId="2" xfId="4" applyNumberFormat="1" applyFont="1" applyFill="1" applyBorder="1" applyAlignment="1">
      <alignment horizontal="center" vertical="center"/>
    </xf>
    <xf numFmtId="0" fontId="20" fillId="12" borderId="4" xfId="4" applyFont="1" applyFill="1" applyBorder="1" applyAlignment="1">
      <alignment horizontal="right" wrapText="1"/>
    </xf>
    <xf numFmtId="165" fontId="20" fillId="12" borderId="2" xfId="4" applyNumberFormat="1" applyFont="1" applyFill="1" applyBorder="1" applyAlignment="1">
      <alignment horizontal="center" vertical="center"/>
    </xf>
    <xf numFmtId="0" fontId="20" fillId="13" borderId="4" xfId="5" applyFont="1" applyFill="1" applyBorder="1" applyAlignment="1">
      <alignment horizontal="right" wrapText="1"/>
    </xf>
    <xf numFmtId="165" fontId="26" fillId="13" borderId="2" xfId="2" applyNumberFormat="1" applyFont="1" applyFill="1" applyBorder="1" applyAlignment="1">
      <alignment horizontal="center" vertical="center"/>
    </xf>
    <xf numFmtId="0" fontId="20" fillId="8" borderId="4" xfId="5" applyFont="1" applyFill="1" applyBorder="1" applyAlignment="1">
      <alignment horizontal="right" wrapText="1"/>
    </xf>
    <xf numFmtId="165" fontId="26" fillId="8" borderId="2" xfId="2" applyNumberFormat="1" applyFont="1" applyFill="1" applyBorder="1" applyAlignment="1">
      <alignment horizontal="center" vertical="center"/>
    </xf>
    <xf numFmtId="0" fontId="2" fillId="14" borderId="0" xfId="0" applyFont="1" applyFill="1"/>
    <xf numFmtId="165" fontId="7" fillId="15" borderId="2" xfId="2" applyNumberFormat="1" applyFont="1" applyFill="1" applyBorder="1" applyAlignment="1">
      <alignment horizontal="center" vertical="center" wrapText="1"/>
    </xf>
    <xf numFmtId="165" fontId="7" fillId="15" borderId="2" xfId="2" applyNumberFormat="1" applyFont="1" applyFill="1" applyBorder="1" applyAlignment="1">
      <alignment horizontal="center"/>
    </xf>
    <xf numFmtId="164" fontId="15" fillId="15" borderId="2" xfId="1" applyNumberFormat="1" applyFont="1" applyFill="1" applyBorder="1" applyAlignment="1">
      <alignment horizontal="center" vertical="center"/>
    </xf>
    <xf numFmtId="44" fontId="15" fillId="15" borderId="2" xfId="2" applyNumberFormat="1" applyFont="1" applyFill="1" applyBorder="1" applyAlignment="1">
      <alignment horizontal="center" vertical="center"/>
    </xf>
    <xf numFmtId="165" fontId="15" fillId="15" borderId="2" xfId="2" applyNumberFormat="1" applyFont="1" applyFill="1" applyBorder="1" applyAlignment="1">
      <alignment horizontal="center" vertical="center"/>
    </xf>
    <xf numFmtId="165" fontId="16" fillId="15" borderId="2" xfId="2" applyNumberFormat="1" applyFont="1" applyFill="1" applyBorder="1" applyAlignment="1">
      <alignment horizontal="center" vertical="center"/>
    </xf>
    <xf numFmtId="165" fontId="24" fillId="15" borderId="2" xfId="2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right" wrapText="1"/>
    </xf>
    <xf numFmtId="0" fontId="26" fillId="0" borderId="34" xfId="0" applyFont="1" applyBorder="1" applyAlignment="1">
      <alignment horizontal="right" wrapText="1"/>
    </xf>
    <xf numFmtId="0" fontId="32" fillId="0" borderId="21" xfId="0" applyFont="1" applyBorder="1" applyAlignment="1">
      <alignment wrapText="1"/>
    </xf>
    <xf numFmtId="44" fontId="26" fillId="0" borderId="2" xfId="2" applyNumberFormat="1" applyFont="1" applyFill="1" applyBorder="1" applyAlignment="1">
      <alignment horizontal="center" vertical="center"/>
    </xf>
    <xf numFmtId="0" fontId="27" fillId="0" borderId="12" xfId="0" applyFont="1" applyBorder="1" applyAlignment="1">
      <alignment horizontal="right" wrapText="1"/>
    </xf>
    <xf numFmtId="165" fontId="27" fillId="0" borderId="2" xfId="2" applyNumberFormat="1" applyFont="1" applyFill="1" applyBorder="1" applyAlignment="1">
      <alignment horizontal="center" vertical="center"/>
    </xf>
    <xf numFmtId="165" fontId="33" fillId="0" borderId="2" xfId="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horizontal="right" wrapText="1"/>
    </xf>
    <xf numFmtId="165" fontId="34" fillId="15" borderId="2" xfId="2" applyNumberFormat="1" applyFont="1" applyFill="1" applyBorder="1" applyAlignment="1">
      <alignment horizontal="center" vertical="center"/>
    </xf>
    <xf numFmtId="165" fontId="7" fillId="3" borderId="0" xfId="2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5" fontId="7" fillId="0" borderId="45" xfId="2" applyNumberFormat="1" applyFont="1" applyFill="1" applyBorder="1" applyAlignment="1">
      <alignment horizontal="center"/>
    </xf>
    <xf numFmtId="165" fontId="7" fillId="3" borderId="2" xfId="2" quotePrefix="1" applyNumberFormat="1" applyFont="1" applyFill="1" applyBorder="1" applyAlignment="1">
      <alignment horizontal="center"/>
    </xf>
    <xf numFmtId="0" fontId="12" fillId="0" borderId="2" xfId="4" applyFont="1" applyFill="1" applyBorder="1" applyAlignment="1">
      <alignment horizontal="center" wrapText="1"/>
    </xf>
    <xf numFmtId="164" fontId="7" fillId="0" borderId="13" xfId="1" applyNumberFormat="1" applyFont="1" applyFill="1" applyBorder="1" applyAlignment="1">
      <alignment horizontal="left"/>
    </xf>
    <xf numFmtId="9" fontId="7" fillId="0" borderId="13" xfId="3" applyFont="1" applyFill="1" applyBorder="1" applyAlignment="1">
      <alignment horizontal="right"/>
    </xf>
    <xf numFmtId="165" fontId="7" fillId="0" borderId="28" xfId="2" applyNumberFormat="1" applyFont="1" applyFill="1" applyBorder="1" applyAlignment="1">
      <alignment horizontal="center" vertical="center"/>
    </xf>
    <xf numFmtId="0" fontId="7" fillId="3" borderId="13" xfId="1" applyNumberFormat="1" applyFont="1" applyFill="1" applyBorder="1" applyAlignment="1">
      <alignment horizontal="right"/>
    </xf>
    <xf numFmtId="165" fontId="10" fillId="0" borderId="0" xfId="2" applyNumberFormat="1" applyFont="1" applyFill="1" applyBorder="1" applyAlignment="1">
      <alignment horizontal="center"/>
    </xf>
    <xf numFmtId="165" fontId="31" fillId="0" borderId="0" xfId="7" applyNumberFormat="1" applyFill="1"/>
    <xf numFmtId="165" fontId="15" fillId="0" borderId="0" xfId="2" applyNumberFormat="1" applyFont="1" applyFill="1" applyBorder="1" applyAlignment="1">
      <alignment horizontal="center"/>
    </xf>
    <xf numFmtId="165" fontId="7" fillId="0" borderId="0" xfId="2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 vertical="center"/>
    </xf>
    <xf numFmtId="165" fontId="28" fillId="0" borderId="0" xfId="2" applyNumberFormat="1" applyFont="1" applyFill="1" applyBorder="1" applyAlignment="1">
      <alignment horizontal="center" vertical="center"/>
    </xf>
    <xf numFmtId="165" fontId="28" fillId="0" borderId="24" xfId="2" applyNumberFormat="1" applyFont="1" applyFill="1" applyBorder="1" applyAlignment="1">
      <alignment horizontal="center" vertical="center"/>
    </xf>
    <xf numFmtId="165" fontId="24" fillId="0" borderId="0" xfId="2" applyNumberFormat="1" applyFont="1" applyFill="1" applyBorder="1" applyAlignment="1">
      <alignment horizontal="center" vertical="center"/>
    </xf>
    <xf numFmtId="165" fontId="15" fillId="0" borderId="44" xfId="2" applyNumberFormat="1" applyFont="1" applyFill="1" applyBorder="1" applyAlignment="1">
      <alignment horizontal="center" vertical="center"/>
    </xf>
    <xf numFmtId="165" fontId="24" fillId="0" borderId="44" xfId="2" applyNumberFormat="1" applyFont="1" applyFill="1" applyBorder="1" applyAlignment="1">
      <alignment horizontal="center" vertical="center"/>
    </xf>
    <xf numFmtId="165" fontId="16" fillId="0" borderId="1" xfId="2" applyNumberFormat="1" applyFont="1" applyFill="1" applyBorder="1" applyAlignment="1">
      <alignment horizontal="center" vertical="center"/>
    </xf>
    <xf numFmtId="165" fontId="15" fillId="0" borderId="1" xfId="2" applyNumberFormat="1" applyFont="1" applyFill="1" applyBorder="1" applyAlignment="1">
      <alignment horizontal="center" vertical="center"/>
    </xf>
    <xf numFmtId="44" fontId="15" fillId="0" borderId="0" xfId="2" applyNumberFormat="1" applyFont="1" applyFill="1" applyBorder="1" applyAlignment="1">
      <alignment horizontal="center" vertical="center"/>
    </xf>
    <xf numFmtId="165" fontId="15" fillId="0" borderId="0" xfId="2" applyNumberFormat="1" applyFont="1" applyFill="1" applyBorder="1" applyAlignment="1">
      <alignment horizontal="center" vertical="center"/>
    </xf>
    <xf numFmtId="165" fontId="34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26" fillId="0" borderId="0" xfId="1" applyNumberFormat="1" applyFont="1" applyFill="1" applyBorder="1" applyAlignment="1">
      <alignment horizontal="center" vertical="center"/>
    </xf>
    <xf numFmtId="164" fontId="26" fillId="0" borderId="44" xfId="1" applyNumberFormat="1" applyFont="1" applyFill="1" applyBorder="1" applyAlignment="1">
      <alignment horizontal="center" vertical="center"/>
    </xf>
    <xf numFmtId="165" fontId="26" fillId="0" borderId="0" xfId="2" applyNumberFormat="1" applyFont="1" applyFill="1" applyBorder="1" applyAlignment="1">
      <alignment horizontal="center" vertical="center"/>
    </xf>
    <xf numFmtId="165" fontId="26" fillId="0" borderId="44" xfId="2" applyNumberFormat="1" applyFont="1" applyFill="1" applyBorder="1" applyAlignment="1">
      <alignment horizontal="center" vertical="center"/>
    </xf>
    <xf numFmtId="0" fontId="12" fillId="0" borderId="44" xfId="4" applyFont="1" applyFill="1" applyBorder="1" applyAlignment="1">
      <alignment horizontal="center" vertical="center"/>
    </xf>
    <xf numFmtId="165" fontId="27" fillId="0" borderId="1" xfId="2" applyNumberFormat="1" applyFont="1" applyFill="1" applyBorder="1" applyAlignment="1">
      <alignment horizontal="center" vertical="center"/>
    </xf>
    <xf numFmtId="44" fontId="26" fillId="0" borderId="0" xfId="2" applyNumberFormat="1" applyFont="1" applyFill="1" applyBorder="1" applyAlignment="1">
      <alignment horizontal="center" vertical="center"/>
    </xf>
    <xf numFmtId="44" fontId="26" fillId="0" borderId="44" xfId="2" applyNumberFormat="1" applyFont="1" applyFill="1" applyBorder="1" applyAlignment="1">
      <alignment horizontal="center" vertical="center"/>
    </xf>
    <xf numFmtId="0" fontId="12" fillId="0" borderId="44" xfId="4" applyFont="1" applyFill="1" applyBorder="1" applyAlignment="1">
      <alignment horizontal="center"/>
    </xf>
    <xf numFmtId="165" fontId="20" fillId="0" borderId="1" xfId="4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>
      <alignment horizontal="center" vertical="center"/>
    </xf>
    <xf numFmtId="0" fontId="6" fillId="0" borderId="0" xfId="0" applyFont="1"/>
    <xf numFmtId="165" fontId="26" fillId="15" borderId="2" xfId="2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/>
    </xf>
    <xf numFmtId="0" fontId="26" fillId="0" borderId="4" xfId="0" applyFont="1" applyBorder="1" applyAlignment="1">
      <alignment horizontal="right"/>
    </xf>
    <xf numFmtId="165" fontId="26" fillId="0" borderId="0" xfId="0" applyNumberFormat="1" applyFont="1"/>
    <xf numFmtId="0" fontId="26" fillId="0" borderId="4" xfId="0" applyFont="1" applyBorder="1" applyAlignment="1">
      <alignment horizontal="left"/>
    </xf>
    <xf numFmtId="0" fontId="26" fillId="0" borderId="0" xfId="0" applyFont="1"/>
    <xf numFmtId="165" fontId="27" fillId="0" borderId="0" xfId="0" applyNumberFormat="1" applyFont="1"/>
    <xf numFmtId="165" fontId="26" fillId="0" borderId="0" xfId="2" applyNumberFormat="1" applyFont="1"/>
    <xf numFmtId="164" fontId="6" fillId="0" borderId="0" xfId="0" applyNumberFormat="1" applyFont="1"/>
    <xf numFmtId="44" fontId="7" fillId="0" borderId="2" xfId="2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right" wrapText="1"/>
    </xf>
    <xf numFmtId="1" fontId="7" fillId="0" borderId="0" xfId="2" applyNumberFormat="1" applyFont="1" applyFill="1" applyBorder="1" applyAlignment="1">
      <alignment horizontal="center" vertical="center"/>
    </xf>
    <xf numFmtId="1" fontId="10" fillId="0" borderId="0" xfId="2" applyNumberFormat="1" applyFont="1" applyFill="1" applyBorder="1" applyAlignment="1">
      <alignment horizontal="center" vertical="center"/>
    </xf>
    <xf numFmtId="1" fontId="13" fillId="0" borderId="0" xfId="0" applyNumberFormat="1" applyFont="1" applyFill="1"/>
    <xf numFmtId="1" fontId="0" fillId="0" borderId="0" xfId="2" applyNumberFormat="1" applyFont="1" applyFill="1"/>
    <xf numFmtId="0" fontId="17" fillId="6" borderId="2" xfId="0" applyFont="1" applyFill="1" applyBorder="1" applyAlignment="1">
      <alignment horizontal="left" wrapText="1"/>
    </xf>
    <xf numFmtId="0" fontId="27" fillId="0" borderId="34" xfId="0" applyFont="1" applyBorder="1" applyAlignment="1">
      <alignment horizontal="right" wrapText="1"/>
    </xf>
    <xf numFmtId="0" fontId="27" fillId="5" borderId="2" xfId="4" applyFont="1" applyFill="1" applyBorder="1" applyAlignment="1">
      <alignment horizontal="center" wrapText="1"/>
    </xf>
    <xf numFmtId="165" fontId="26" fillId="15" borderId="2" xfId="2" applyNumberFormat="1" applyFont="1" applyFill="1" applyBorder="1" applyAlignment="1">
      <alignment horizontal="center" vertical="center" wrapText="1"/>
    </xf>
    <xf numFmtId="165" fontId="2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horizontal="center"/>
    </xf>
    <xf numFmtId="165" fontId="27" fillId="7" borderId="0" xfId="0" applyNumberFormat="1" applyFont="1" applyFill="1" applyAlignment="1">
      <alignment horizontal="center"/>
    </xf>
    <xf numFmtId="0" fontId="35" fillId="7" borderId="0" xfId="0" applyFont="1" applyFill="1"/>
    <xf numFmtId="0" fontId="36" fillId="7" borderId="0" xfId="1" applyNumberFormat="1" applyFont="1" applyFill="1" applyAlignment="1">
      <alignment horizontal="left"/>
    </xf>
    <xf numFmtId="165" fontId="36" fillId="7" borderId="0" xfId="2" applyNumberFormat="1" applyFont="1" applyFill="1" applyAlignment="1">
      <alignment horizontal="left"/>
    </xf>
    <xf numFmtId="164" fontId="15" fillId="0" borderId="2" xfId="1" applyNumberFormat="1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left"/>
    </xf>
    <xf numFmtId="1" fontId="36" fillId="7" borderId="0" xfId="2" applyNumberFormat="1" applyFont="1" applyFill="1" applyAlignment="1">
      <alignment horizontal="center"/>
    </xf>
    <xf numFmtId="0" fontId="0" fillId="0" borderId="0" xfId="0" applyProtection="1">
      <protection locked="0"/>
    </xf>
    <xf numFmtId="171" fontId="0" fillId="4" borderId="2" xfId="1" applyNumberFormat="1" applyFont="1" applyFill="1" applyBorder="1" applyAlignment="1" applyProtection="1">
      <alignment horizontal="right" vertical="center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164" fontId="0" fillId="4" borderId="2" xfId="1" applyNumberFormat="1" applyFont="1" applyFill="1" applyBorder="1" applyAlignment="1" applyProtection="1">
      <alignment horizontal="righ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9" fontId="0" fillId="4" borderId="2" xfId="3" applyFont="1" applyFill="1" applyBorder="1" applyAlignment="1" applyProtection="1">
      <alignment horizontal="left" vertical="center"/>
      <protection locked="0"/>
    </xf>
    <xf numFmtId="44" fontId="0" fillId="4" borderId="2" xfId="2" applyFont="1" applyFill="1" applyBorder="1" applyAlignment="1" applyProtection="1">
      <alignment horizontal="left" vertical="center"/>
      <protection locked="0"/>
    </xf>
    <xf numFmtId="164" fontId="0" fillId="4" borderId="30" xfId="1" applyNumberFormat="1" applyFont="1" applyFill="1" applyBorder="1" applyAlignment="1" applyProtection="1">
      <alignment horizontal="right" vertical="center"/>
      <protection locked="0"/>
    </xf>
    <xf numFmtId="9" fontId="0" fillId="4" borderId="2" xfId="0" applyNumberFormat="1" applyFill="1" applyBorder="1" applyAlignment="1" applyProtection="1">
      <alignment horizontal="left" vertical="center"/>
      <protection locked="0"/>
    </xf>
    <xf numFmtId="166" fontId="0" fillId="4" borderId="2" xfId="3" applyNumberFormat="1" applyFont="1" applyFill="1" applyBorder="1" applyAlignment="1" applyProtection="1">
      <alignment horizontal="left" vertical="center"/>
      <protection locked="0"/>
    </xf>
    <xf numFmtId="166" fontId="0" fillId="4" borderId="2" xfId="0" applyNumberFormat="1" applyFill="1" applyBorder="1" applyAlignment="1" applyProtection="1">
      <alignment horizontal="left" vertical="center"/>
      <protection locked="0"/>
    </xf>
    <xf numFmtId="164" fontId="0" fillId="4" borderId="2" xfId="1" applyNumberFormat="1" applyFont="1" applyFill="1" applyBorder="1" applyAlignment="1" applyProtection="1">
      <alignment horizontal="left" vertical="center"/>
      <protection locked="0"/>
    </xf>
    <xf numFmtId="9" fontId="0" fillId="4" borderId="2" xfId="3" applyFont="1" applyFill="1" applyBorder="1" applyAlignment="1" applyProtection="1">
      <alignment horizontal="right" vertical="center"/>
      <protection locked="0"/>
    </xf>
    <xf numFmtId="0" fontId="0" fillId="4" borderId="2" xfId="1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2" xfId="0" applyBorder="1" applyAlignment="1" applyProtection="1">
      <alignment vertical="center" wrapText="1"/>
    </xf>
    <xf numFmtId="0" fontId="8" fillId="0" borderId="0" xfId="0" applyFont="1" applyProtection="1"/>
    <xf numFmtId="0" fontId="0" fillId="0" borderId="0" xfId="0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7" fillId="3" borderId="2" xfId="5" applyBorder="1" applyAlignment="1" applyProtection="1">
      <alignment vertical="center" wrapText="1"/>
    </xf>
    <xf numFmtId="0" fontId="0" fillId="0" borderId="2" xfId="0" applyBorder="1" applyProtection="1"/>
    <xf numFmtId="0" fontId="2" fillId="0" borderId="2" xfId="0" applyFont="1" applyBorder="1" applyProtection="1"/>
    <xf numFmtId="0" fontId="0" fillId="0" borderId="2" xfId="0" applyBorder="1" applyAlignment="1" applyProtection="1">
      <alignment vertical="center"/>
    </xf>
    <xf numFmtId="0" fontId="0" fillId="0" borderId="2" xfId="0" applyFill="1" applyBorder="1" applyAlignment="1" applyProtection="1">
      <alignment vertical="center" wrapText="1"/>
    </xf>
    <xf numFmtId="0" fontId="0" fillId="0" borderId="2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 wrapText="1"/>
    </xf>
    <xf numFmtId="0" fontId="0" fillId="0" borderId="0" xfId="0" applyFill="1" applyProtection="1"/>
    <xf numFmtId="164" fontId="7" fillId="3" borderId="2" xfId="5" applyNumberFormat="1" applyBorder="1" applyAlignment="1" applyProtection="1">
      <alignment horizontal="right" vertical="center"/>
    </xf>
    <xf numFmtId="9" fontId="7" fillId="3" borderId="2" xfId="3" applyFont="1" applyFill="1" applyBorder="1" applyAlignment="1" applyProtection="1">
      <alignment vertical="center" wrapText="1"/>
    </xf>
    <xf numFmtId="0" fontId="0" fillId="0" borderId="0" xfId="0" applyProtection="1">
      <protection hidden="1"/>
    </xf>
    <xf numFmtId="9" fontId="0" fillId="0" borderId="0" xfId="3" applyFont="1" applyProtection="1">
      <protection hidden="1"/>
    </xf>
    <xf numFmtId="166" fontId="0" fillId="0" borderId="0" xfId="3" applyNumberFormat="1" applyFont="1" applyProtection="1">
      <protection hidden="1"/>
    </xf>
    <xf numFmtId="44" fontId="0" fillId="0" borderId="0" xfId="2" applyFont="1" applyProtection="1">
      <protection hidden="1"/>
    </xf>
    <xf numFmtId="166" fontId="0" fillId="0" borderId="0" xfId="0" applyNumberFormat="1" applyProtection="1">
      <protection hidden="1"/>
    </xf>
    <xf numFmtId="0" fontId="12" fillId="4" borderId="0" xfId="4" applyFont="1" applyFill="1" applyBorder="1" applyAlignment="1" applyProtection="1">
      <alignment horizontal="center"/>
      <protection locked="0"/>
    </xf>
    <xf numFmtId="0" fontId="12" fillId="4" borderId="30" xfId="4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37" fillId="0" borderId="0" xfId="0" applyFont="1"/>
    <xf numFmtId="0" fontId="18" fillId="0" borderId="0" xfId="0" applyFont="1"/>
    <xf numFmtId="0" fontId="38" fillId="5" borderId="2" xfId="4" applyFont="1" applyFill="1" applyBorder="1" applyAlignment="1">
      <alignment horizontal="center" vertical="center" wrapText="1"/>
    </xf>
    <xf numFmtId="165" fontId="39" fillId="15" borderId="2" xfId="2" applyNumberFormat="1" applyFont="1" applyFill="1" applyBorder="1" applyAlignment="1">
      <alignment horizontal="center" vertical="center" wrapText="1"/>
    </xf>
    <xf numFmtId="0" fontId="39" fillId="7" borderId="0" xfId="0" applyFont="1" applyFill="1" applyBorder="1" applyAlignment="1">
      <alignment horizontal="left"/>
    </xf>
    <xf numFmtId="165" fontId="38" fillId="7" borderId="0" xfId="0" applyNumberFormat="1" applyFont="1" applyFill="1" applyAlignment="1">
      <alignment horizontal="center"/>
    </xf>
    <xf numFmtId="0" fontId="39" fillId="0" borderId="4" xfId="0" applyFont="1" applyFill="1" applyBorder="1" applyAlignment="1">
      <alignment horizontal="left"/>
    </xf>
    <xf numFmtId="0" fontId="39" fillId="0" borderId="0" xfId="0" applyFont="1"/>
    <xf numFmtId="165" fontId="39" fillId="15" borderId="2" xfId="2" applyNumberFormat="1" applyFont="1" applyFill="1" applyBorder="1" applyAlignment="1">
      <alignment horizontal="center" vertical="center"/>
    </xf>
    <xf numFmtId="0" fontId="39" fillId="0" borderId="4" xfId="0" applyFont="1" applyBorder="1" applyAlignment="1">
      <alignment horizontal="right"/>
    </xf>
    <xf numFmtId="165" fontId="39" fillId="0" borderId="0" xfId="0" applyNumberFormat="1" applyFont="1"/>
    <xf numFmtId="0" fontId="39" fillId="0" borderId="4" xfId="0" applyFont="1" applyBorder="1" applyAlignment="1">
      <alignment horizontal="left"/>
    </xf>
    <xf numFmtId="165" fontId="38" fillId="0" borderId="0" xfId="0" applyNumberFormat="1" applyFont="1"/>
    <xf numFmtId="165" fontId="39" fillId="0" borderId="0" xfId="2" applyNumberFormat="1" applyFont="1"/>
    <xf numFmtId="0" fontId="18" fillId="0" borderId="0" xfId="0" applyFont="1" applyAlignment="1">
      <alignment horizontal="center"/>
    </xf>
    <xf numFmtId="165" fontId="18" fillId="0" borderId="0" xfId="2" applyNumberFormat="1" applyFont="1" applyAlignment="1">
      <alignment horizontal="center"/>
    </xf>
    <xf numFmtId="165" fontId="38" fillId="0" borderId="2" xfId="2" applyNumberFormat="1" applyFont="1" applyFill="1" applyBorder="1" applyAlignment="1">
      <alignment horizontal="center" vertical="center"/>
    </xf>
    <xf numFmtId="165" fontId="40" fillId="15" borderId="2" xfId="2" applyNumberFormat="1" applyFont="1" applyFill="1" applyBorder="1" applyAlignment="1">
      <alignment horizontal="center" vertical="center"/>
    </xf>
    <xf numFmtId="165" fontId="40" fillId="0" borderId="2" xfId="2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1" fillId="9" borderId="33" xfId="6" applyBorder="1" applyAlignment="1">
      <alignment horizontal="left" vertical="center" wrapText="1"/>
    </xf>
    <xf numFmtId="0" fontId="21" fillId="9" borderId="0" xfId="6" applyBorder="1" applyAlignment="1">
      <alignment horizontal="left" vertical="center" wrapText="1"/>
    </xf>
    <xf numFmtId="0" fontId="8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165" fontId="28" fillId="15" borderId="36" xfId="2" applyNumberFormat="1" applyFont="1" applyFill="1" applyBorder="1" applyAlignment="1">
      <alignment horizontal="center" vertical="center"/>
    </xf>
    <xf numFmtId="165" fontId="28" fillId="15" borderId="37" xfId="2" applyNumberFormat="1" applyFont="1" applyFill="1" applyBorder="1" applyAlignment="1">
      <alignment horizontal="center" vertical="center"/>
    </xf>
    <xf numFmtId="0" fontId="5" fillId="0" borderId="16" xfId="4" applyFill="1" applyBorder="1" applyAlignment="1">
      <alignment horizontal="center"/>
    </xf>
    <xf numFmtId="0" fontId="5" fillId="0" borderId="17" xfId="4" applyFill="1" applyBorder="1" applyAlignment="1">
      <alignment horizontal="center"/>
    </xf>
    <xf numFmtId="0" fontId="5" fillId="0" borderId="18" xfId="4" applyFill="1" applyBorder="1" applyAlignment="1">
      <alignment horizontal="center"/>
    </xf>
    <xf numFmtId="165" fontId="28" fillId="15" borderId="46" xfId="2" applyNumberFormat="1" applyFont="1" applyFill="1" applyBorder="1" applyAlignment="1">
      <alignment horizontal="center" vertical="center"/>
    </xf>
    <xf numFmtId="165" fontId="28" fillId="15" borderId="47" xfId="2" applyNumberFormat="1" applyFont="1" applyFill="1" applyBorder="1" applyAlignment="1">
      <alignment horizontal="center" vertical="center"/>
    </xf>
    <xf numFmtId="165" fontId="28" fillId="15" borderId="23" xfId="2" applyNumberFormat="1" applyFont="1" applyFill="1" applyBorder="1" applyAlignment="1">
      <alignment horizontal="center" vertical="center"/>
    </xf>
  </cellXfs>
  <cellStyles count="8">
    <cellStyle name="Accent6" xfId="7" builtinId="49"/>
    <cellStyle name="Calculation" xfId="6" builtinId="22"/>
    <cellStyle name="Comma" xfId="1" builtinId="3"/>
    <cellStyle name="Currency" xfId="2" builtinId="4"/>
    <cellStyle name="Good" xfId="4" builtinId="26"/>
    <cellStyle name="Neutral" xfId="5" builtinId="2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3991988136588"/>
          <c:y val="0.14299182973946323"/>
          <c:w val="0.87937674698980661"/>
          <c:h val="0.70128329890945651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'Pax Capital'!$A$10</c:f>
              <c:strCache>
                <c:ptCount val="1"/>
                <c:pt idx="0">
                  <c:v>Start-up cost (Year 0)</c:v>
                </c:pt>
              </c:strCache>
            </c:strRef>
          </c:tx>
          <c:invertIfNegative val="0"/>
          <c:cat>
            <c:strRef>
              <c:f>('Pax Capital'!$C$1,'Pax Capital'!$G$1)</c:f>
              <c:strCache>
                <c:ptCount val="2"/>
                <c:pt idx="0">
                  <c:v>12-30 Pax Skiff</c:v>
                </c:pt>
                <c:pt idx="1">
                  <c:v>51-100 Pax, &gt;20kt</c:v>
                </c:pt>
              </c:strCache>
            </c:strRef>
          </c:cat>
          <c:val>
            <c:numRef>
              <c:f>('Pax Capital'!$C$10,'Pax Capital'!$G$10)</c:f>
              <c:numCache>
                <c:formatCode>_("$"* #,##0_);_("$"* \(#,##0\);_("$"* "-"??_);_(@_)</c:formatCode>
                <c:ptCount val="2"/>
                <c:pt idx="0">
                  <c:v>-21060</c:v>
                </c:pt>
                <c:pt idx="1">
                  <c:v>-21060</c:v>
                </c:pt>
              </c:numCache>
            </c:numRef>
          </c:val>
        </c:ser>
        <c:ser>
          <c:idx val="0"/>
          <c:order val="1"/>
          <c:tx>
            <c:strRef>
              <c:f>'Pax Capital'!$A$11</c:f>
              <c:strCache>
                <c:ptCount val="1"/>
                <c:pt idx="0">
                  <c:v>Debt Allocated to this service/route (Year 0)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('Pax Capital'!$C$1,'Pax Capital'!$G$1)</c:f>
              <c:strCache>
                <c:ptCount val="2"/>
                <c:pt idx="0">
                  <c:v>12-30 Pax Skiff</c:v>
                </c:pt>
                <c:pt idx="1">
                  <c:v>51-100 Pax, &gt;20kt</c:v>
                </c:pt>
              </c:strCache>
            </c:strRef>
          </c:cat>
          <c:val>
            <c:numRef>
              <c:f>('Pax Capital'!$C$11,'Pax Capital'!$G$11)</c:f>
              <c:numCache>
                <c:formatCode>_("$"* #,##0_);_("$"* \(#,##0\);_("$"* "-"??_);_(@_)</c:formatCode>
                <c:ptCount val="2"/>
                <c:pt idx="0">
                  <c:v>-555225.51724137936</c:v>
                </c:pt>
                <c:pt idx="1">
                  <c:v>-1638822.5</c:v>
                </c:pt>
              </c:numCache>
            </c:numRef>
          </c:val>
        </c:ser>
        <c:ser>
          <c:idx val="1"/>
          <c:order val="2"/>
          <c:tx>
            <c:strRef>
              <c:f>'Pax Capital'!$A$9:$B$9</c:f>
              <c:strCache>
                <c:ptCount val="1"/>
                <c:pt idx="0">
                  <c:v>Equity Investment </c:v>
                </c:pt>
              </c:strCache>
            </c:strRef>
          </c:tx>
          <c:invertIfNegative val="0"/>
          <c:cat>
            <c:strRef>
              <c:f>('Pax Capital'!$C$1,'Pax Capital'!$G$1)</c:f>
              <c:strCache>
                <c:ptCount val="2"/>
                <c:pt idx="0">
                  <c:v>12-30 Pax Skiff</c:v>
                </c:pt>
                <c:pt idx="1">
                  <c:v>51-100 Pax, &gt;20kt</c:v>
                </c:pt>
              </c:strCache>
            </c:strRef>
          </c:cat>
          <c:val>
            <c:numRef>
              <c:f>('Pax Capital'!$C$9,'Pax Capital'!$G$9)</c:f>
              <c:numCache>
                <c:formatCode>_("$"* #,##0_);_("$"* \(#,##0\);_("$"* "-"??_);_(@_)</c:formatCode>
                <c:ptCount val="2"/>
                <c:pt idx="0">
                  <c:v>133541.37931034484</c:v>
                </c:pt>
                <c:pt idx="1">
                  <c:v>404440.625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6551680"/>
        <c:axId val="96553216"/>
      </c:barChart>
      <c:catAx>
        <c:axId val="96551680"/>
        <c:scaling>
          <c:orientation val="minMax"/>
        </c:scaling>
        <c:delete val="0"/>
        <c:axPos val="l"/>
        <c:majorTickMark val="none"/>
        <c:minorTickMark val="none"/>
        <c:tickLblPos val="nextTo"/>
        <c:crossAx val="96553216"/>
        <c:crosses val="autoZero"/>
        <c:auto val="1"/>
        <c:lblAlgn val="ctr"/>
        <c:lblOffset val="100"/>
        <c:noMultiLvlLbl val="0"/>
      </c:catAx>
      <c:valAx>
        <c:axId val="96553216"/>
        <c:scaling>
          <c:orientation val="minMax"/>
        </c:scaling>
        <c:delete val="0"/>
        <c:axPos val="b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96551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3694357258572437E-2"/>
          <c:y val="1.5774778621539261E-2"/>
          <c:w val="0.86830372755604024"/>
          <c:h val="0.1024698183142160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Total</a:t>
            </a:r>
            <a:r>
              <a:rPr lang="en-US" sz="1600" baseline="0"/>
              <a:t> Cost, Year 0-40</a:t>
            </a:r>
            <a:endParaRPr lang="en-US" sz="1600"/>
          </a:p>
        </c:rich>
      </c:tx>
      <c:layout>
        <c:manualLayout>
          <c:xMode val="edge"/>
          <c:yMode val="edge"/>
          <c:x val="0.32671916010498853"/>
          <c:y val="4.13971196778939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649976223499796"/>
          <c:y val="0.12286791995875347"/>
          <c:w val="0.88726480360406867"/>
          <c:h val="0.694835569393174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'RORO Summary'!$A$46</c:f>
              <c:strCache>
                <c:ptCount val="1"/>
                <c:pt idx="0">
                  <c:v>Total Operating Costs (Year 0-40)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spPr>
              <a:noFill/>
              <a:ln w="76200">
                <a:solidFill>
                  <a:srgbClr val="9BBB59">
                    <a:lumMod val="60000"/>
                    <a:lumOff val="40000"/>
                  </a:srgbClr>
                </a:solidFill>
              </a:ln>
            </c:spPr>
          </c:dPt>
          <c:errBars>
            <c:errBarType val="both"/>
            <c:errValType val="cust"/>
            <c:noEndCap val="0"/>
            <c:plus>
              <c:numRef>
                <c:f>'RORO Summary'!$B$61:$E$61</c:f>
                <c:numCache>
                  <c:formatCode>General</c:formatCode>
                  <c:ptCount val="4"/>
                  <c:pt idx="0">
                    <c:v>28600000</c:v>
                  </c:pt>
                  <c:pt idx="1">
                    <c:v>33200000</c:v>
                  </c:pt>
                  <c:pt idx="2">
                    <c:v>68700000</c:v>
                  </c:pt>
                  <c:pt idx="3">
                    <c:v>34600000</c:v>
                  </c:pt>
                </c:numCache>
              </c:numRef>
            </c:plus>
            <c:minus>
              <c:numRef>
                <c:f>'RORO Summary'!$B$60:$E$60</c:f>
                <c:numCache>
                  <c:formatCode>General</c:formatCode>
                  <c:ptCount val="4"/>
                  <c:pt idx="0">
                    <c:v>28500000</c:v>
                  </c:pt>
                  <c:pt idx="1">
                    <c:v>33300000</c:v>
                  </c:pt>
                  <c:pt idx="2">
                    <c:v>68800000</c:v>
                  </c:pt>
                  <c:pt idx="3">
                    <c:v>34500000</c:v>
                  </c:pt>
                </c:numCache>
              </c:numRef>
            </c:minus>
            <c:spPr>
              <a:ln w="31750">
                <a:solidFill>
                  <a:schemeClr val="accent3">
                    <a:lumMod val="50000"/>
                  </a:schemeClr>
                </a:solidFill>
              </a:ln>
            </c:spPr>
          </c:errBars>
          <c:cat>
            <c:strRef>
              <c:f>'RORO Summary'!$L$2:$P$2</c:f>
              <c:strCache>
                <c:ptCount val="5"/>
                <c:pt idx="0">
                  <c:v>&lt;100 Pax, &lt;10 Veh</c:v>
                </c:pt>
                <c:pt idx="1">
                  <c:v> &lt;500 Pax, &lt;10 Veh</c:v>
                </c:pt>
                <c:pt idx="2">
                  <c:v>&lt;500 Pax, &lt;50 Veh</c:v>
                </c:pt>
                <c:pt idx="3">
                  <c:v>250-500 Pax, 45-100 Veh</c:v>
                </c:pt>
                <c:pt idx="4">
                  <c:v>Manual Fleet</c:v>
                </c:pt>
              </c:strCache>
            </c:strRef>
          </c:cat>
          <c:val>
            <c:numRef>
              <c:f>'RORO Summary'!$B$59:$F$59</c:f>
              <c:numCache>
                <c:formatCode>_("$"* #,##0_);_("$"* \(#,##0\);_("$"* "-"??_);_(@_)</c:formatCode>
                <c:ptCount val="5"/>
                <c:pt idx="0">
                  <c:v>96800000</c:v>
                </c:pt>
                <c:pt idx="1">
                  <c:v>130600000</c:v>
                </c:pt>
                <c:pt idx="2">
                  <c:v>191500000</c:v>
                </c:pt>
                <c:pt idx="3">
                  <c:v>607200000</c:v>
                </c:pt>
                <c:pt idx="4">
                  <c:v>236026182.14675879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"/>
        <c:axId val="108770048"/>
        <c:axId val="108771584"/>
      </c:barChart>
      <c:barChart>
        <c:barDir val="col"/>
        <c:grouping val="clustered"/>
        <c:varyColors val="0"/>
        <c:ser>
          <c:idx val="4"/>
          <c:order val="1"/>
          <c:tx>
            <c:strRef>
              <c:f>'RORO Summary'!$A$50</c:f>
              <c:strCache>
                <c:ptCount val="1"/>
                <c:pt idx="0">
                  <c:v>Total Capital Costs (Year 0-40)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multiLvlStrRef>
              <c:f>'RORO Summary'!#REF!</c:f>
            </c:multiLvlStrRef>
          </c:cat>
          <c:val>
            <c:numRef>
              <c:f>'RORO Summary'!$B$51:$F$51</c:f>
              <c:numCache>
                <c:formatCode>_("$"* #,##0_);_("$"* \(#,##0\);_("$"* "-"??_);_(@_)</c:formatCode>
                <c:ptCount val="5"/>
                <c:pt idx="0">
                  <c:v>7000000</c:v>
                </c:pt>
                <c:pt idx="1">
                  <c:v>7700000</c:v>
                </c:pt>
                <c:pt idx="2">
                  <c:v>17700000</c:v>
                </c:pt>
                <c:pt idx="3">
                  <c:v>34400000</c:v>
                </c:pt>
                <c:pt idx="4">
                  <c:v>13201182.146758799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1"/>
        <c:axId val="108779008"/>
        <c:axId val="108777472"/>
      </c:barChart>
      <c:catAx>
        <c:axId val="1087700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anchor="t" anchorCtr="0"/>
          <a:lstStyle/>
          <a:p>
            <a:pPr>
              <a:defRPr sz="900"/>
            </a:pPr>
            <a:endParaRPr lang="en-US"/>
          </a:p>
        </c:txPr>
        <c:crossAx val="108771584"/>
        <c:crosses val="autoZero"/>
        <c:auto val="1"/>
        <c:lblAlgn val="ctr"/>
        <c:lblOffset val="0"/>
        <c:tickLblSkip val="1"/>
        <c:noMultiLvlLbl val="0"/>
      </c:catAx>
      <c:valAx>
        <c:axId val="108771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8770048"/>
        <c:crosses val="autoZero"/>
        <c:crossBetween val="between"/>
      </c:valAx>
      <c:valAx>
        <c:axId val="108777472"/>
        <c:scaling>
          <c:orientation val="minMax"/>
        </c:scaling>
        <c:delete val="1"/>
        <c:axPos val="r"/>
        <c:numFmt formatCode="_(&quot;$&quot;* #,##0_);_(&quot;$&quot;* \(#,##0\);_(&quot;$&quot;* &quot;-&quot;??_);_(@_)" sourceLinked="1"/>
        <c:majorTickMark val="out"/>
        <c:minorTickMark val="none"/>
        <c:tickLblPos val="none"/>
        <c:crossAx val="108779008"/>
        <c:crosses val="max"/>
        <c:crossBetween val="between"/>
      </c:valAx>
      <c:catAx>
        <c:axId val="108779008"/>
        <c:scaling>
          <c:orientation val="minMax"/>
        </c:scaling>
        <c:delete val="1"/>
        <c:axPos val="b"/>
        <c:majorTickMark val="out"/>
        <c:minorTickMark val="none"/>
        <c:tickLblPos val="none"/>
        <c:crossAx val="1087774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0.22653663366058938"/>
          <c:y val="0.139458165426665"/>
          <c:w val="0.45864657788073981"/>
          <c:h val="0.18679420198360966"/>
        </c:manualLayout>
      </c:layout>
      <c:overlay val="0"/>
    </c:legend>
    <c:plotVisOnly val="1"/>
    <c:dispBlanksAs val="gap"/>
    <c:showDLblsOverMax val="0"/>
  </c:chart>
  <c:printSettings>
    <c:headerFooter>
      <c:oddFooter>&amp;C&amp;D</c:oddFooter>
    </c:headerFooter>
    <c:pageMargins b="0.75000000000000566" l="0.70000000000000062" r="0.70000000000000062" t="0.75000000000000566" header="0.30000000000000032" footer="0.30000000000000032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Hourly</a:t>
            </a:r>
            <a:r>
              <a:rPr lang="en-US" sz="1600" baseline="0"/>
              <a:t> Cost, Year 1</a:t>
            </a:r>
            <a:endParaRPr lang="en-US" sz="1600"/>
          </a:p>
        </c:rich>
      </c:tx>
      <c:layout>
        <c:manualLayout>
          <c:xMode val="edge"/>
          <c:yMode val="edge"/>
          <c:x val="0.32671916010498875"/>
          <c:y val="4.13971196778939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43465246686415"/>
          <c:y val="0.13536897998526506"/>
          <c:w val="0.9042059807023981"/>
          <c:h val="0.711854460799219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'RORO Summary'!$A$37</c:f>
              <c:strCache>
                <c:ptCount val="1"/>
                <c:pt idx="0">
                  <c:v>Operating cost per operating hour (Year 1)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spPr>
              <a:noFill/>
              <a:ln w="76200">
                <a:solidFill>
                  <a:srgbClr val="F79646">
                    <a:lumMod val="60000"/>
                    <a:lumOff val="40000"/>
                  </a:srgbClr>
                </a:solidFill>
              </a:ln>
            </c:spPr>
          </c:dPt>
          <c:errBars>
            <c:errBarType val="both"/>
            <c:errValType val="cust"/>
            <c:noEndCap val="0"/>
            <c:plus>
              <c:numRef>
                <c:f>'RORO Summary'!$B$57:$E$57</c:f>
                <c:numCache>
                  <c:formatCode>General</c:formatCode>
                  <c:ptCount val="4"/>
                  <c:pt idx="0">
                    <c:v>319.38616705474288</c:v>
                  </c:pt>
                  <c:pt idx="1">
                    <c:v>234.45127872675903</c:v>
                  </c:pt>
                  <c:pt idx="2">
                    <c:v>575.94382523674972</c:v>
                  </c:pt>
                  <c:pt idx="3">
                    <c:v>584.4135854572653</c:v>
                  </c:pt>
                </c:numCache>
              </c:numRef>
            </c:plus>
            <c:minus>
              <c:numRef>
                <c:f>'RORO Summary'!$B$56:$E$56</c:f>
                <c:numCache>
                  <c:formatCode>General</c:formatCode>
                  <c:ptCount val="4"/>
                  <c:pt idx="0">
                    <c:v>319.386167054743</c:v>
                  </c:pt>
                  <c:pt idx="1">
                    <c:v>233.57408574430272</c:v>
                  </c:pt>
                  <c:pt idx="2">
                    <c:v>576.8210182192056</c:v>
                  </c:pt>
                  <c:pt idx="3">
                    <c:v>585.29077843972141</c:v>
                  </c:pt>
                </c:numCache>
              </c:numRef>
            </c:minus>
            <c:spPr>
              <a:ln w="41275">
                <a:solidFill>
                  <a:schemeClr val="accent6">
                    <a:lumMod val="50000"/>
                  </a:schemeClr>
                </a:solidFill>
              </a:ln>
            </c:spPr>
          </c:errBars>
          <c:cat>
            <c:strRef>
              <c:f>'RORO Summary'!$L$2:$P$2</c:f>
              <c:strCache>
                <c:ptCount val="5"/>
                <c:pt idx="0">
                  <c:v>&lt;100 Pax, &lt;10 Veh</c:v>
                </c:pt>
                <c:pt idx="1">
                  <c:v> &lt;500 Pax, &lt;10 Veh</c:v>
                </c:pt>
                <c:pt idx="2">
                  <c:v>&lt;500 Pax, &lt;50 Veh</c:v>
                </c:pt>
                <c:pt idx="3">
                  <c:v>250-500 Pax, 45-100 Veh</c:v>
                </c:pt>
                <c:pt idx="4">
                  <c:v>Manual Fleet</c:v>
                </c:pt>
              </c:strCache>
            </c:strRef>
          </c:cat>
          <c:val>
            <c:numRef>
              <c:f>'RORO Summary'!$B$55:$F$55</c:f>
              <c:numCache>
                <c:formatCode>_("$"* #,##0_);_("$"* \(#,##0\);_("$"* "-"??_);_(@_)</c:formatCode>
                <c:ptCount val="5"/>
                <c:pt idx="0">
                  <c:v>898.21132476718992</c:v>
                </c:pt>
                <c:pt idx="1">
                  <c:v>972.1321041942349</c:v>
                </c:pt>
                <c:pt idx="2">
                  <c:v>1683.5977057040036</c:v>
                </c:pt>
                <c:pt idx="3">
                  <c:v>3447.7744301620355</c:v>
                </c:pt>
                <c:pt idx="4">
                  <c:v>1509.9476941269411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"/>
        <c:axId val="107504000"/>
        <c:axId val="107505536"/>
      </c:barChart>
      <c:barChart>
        <c:barDir val="col"/>
        <c:grouping val="clustered"/>
        <c:varyColors val="0"/>
        <c:ser>
          <c:idx val="0"/>
          <c:order val="1"/>
          <c:tx>
            <c:strRef>
              <c:f>'RORO Summary'!$A$41</c:f>
              <c:strCache>
                <c:ptCount val="1"/>
                <c:pt idx="0">
                  <c:v>Capital cost per operating hour (Year 1)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cat>
            <c:multiLvlStrRef>
              <c:f>'RORO Summary'!#REF!</c:f>
            </c:multiLvlStrRef>
          </c:cat>
          <c:val>
            <c:numRef>
              <c:f>'RORO Summary'!$B$42:$F$42</c:f>
              <c:numCache>
                <c:formatCode>_("$"* #,##0_);_("$"* \(#,##0\);_("$"* "-"??_);_(@_)</c:formatCode>
                <c:ptCount val="5"/>
                <c:pt idx="0">
                  <c:v>267.50957038122499</c:v>
                </c:pt>
                <c:pt idx="1">
                  <c:v>293.1847357731823</c:v>
                </c:pt>
                <c:pt idx="2">
                  <c:v>676.58016184435462</c:v>
                </c:pt>
                <c:pt idx="3">
                  <c:v>1317.9498687585269</c:v>
                </c:pt>
                <c:pt idx="4">
                  <c:v>362.57927307430936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1"/>
        <c:axId val="107525248"/>
        <c:axId val="107507072"/>
      </c:barChart>
      <c:catAx>
        <c:axId val="1075040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anchor="ctr" anchorCtr="0"/>
          <a:lstStyle/>
          <a:p>
            <a:pPr>
              <a:defRPr sz="900"/>
            </a:pPr>
            <a:endParaRPr lang="en-US"/>
          </a:p>
        </c:txPr>
        <c:crossAx val="107505536"/>
        <c:crosses val="autoZero"/>
        <c:auto val="1"/>
        <c:lblAlgn val="ctr"/>
        <c:lblOffset val="0"/>
        <c:noMultiLvlLbl val="0"/>
      </c:catAx>
      <c:valAx>
        <c:axId val="10750553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7504000"/>
        <c:crosses val="autoZero"/>
        <c:crossBetween val="between"/>
      </c:valAx>
      <c:valAx>
        <c:axId val="107507072"/>
        <c:scaling>
          <c:orientation val="minMax"/>
          <c:max val="7000"/>
        </c:scaling>
        <c:delete val="1"/>
        <c:axPos val="r"/>
        <c:numFmt formatCode="_(&quot;$&quot;* #,##0_);_(&quot;$&quot;* \(#,##0\);_(&quot;$&quot;* &quot;-&quot;??_);_(@_)" sourceLinked="1"/>
        <c:majorTickMark val="out"/>
        <c:minorTickMark val="none"/>
        <c:tickLblPos val="none"/>
        <c:crossAx val="107525248"/>
        <c:crosses val="max"/>
        <c:crossBetween val="between"/>
      </c:valAx>
      <c:catAx>
        <c:axId val="107525248"/>
        <c:scaling>
          <c:orientation val="minMax"/>
        </c:scaling>
        <c:delete val="1"/>
        <c:axPos val="b"/>
        <c:majorTickMark val="out"/>
        <c:minorTickMark val="none"/>
        <c:tickLblPos val="none"/>
        <c:crossAx val="10750707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0.13021430849933446"/>
          <c:y val="0.14272128279711388"/>
          <c:w val="0.5338274027612987"/>
          <c:h val="0.16697364420091887"/>
        </c:manualLayout>
      </c:layout>
      <c:overlay val="0"/>
    </c:legend>
    <c:plotVisOnly val="1"/>
    <c:dispBlanksAs val="gap"/>
    <c:showDLblsOverMax val="0"/>
  </c:chart>
  <c:printSettings>
    <c:headerFooter>
      <c:oddFooter>&amp;C&amp;D</c:oddFooter>
    </c:headerFooter>
    <c:pageMargins b="0.75000000000000588" l="0.70000000000000062" r="0.70000000000000062" t="0.75000000000000588" header="0.30000000000000032" footer="0.30000000000000032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Least Cost Option, Estimated Average Annual</a:t>
            </a:r>
            <a:r>
              <a:rPr lang="en-US" baseline="0"/>
              <a:t> Costs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5479363277115356E-2"/>
          <c:y val="0.13241483755932676"/>
          <c:w val="0.8794497002176096"/>
          <c:h val="0.68126082634584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'RORO Summary'!$B$63</c:f>
              <c:strCache>
                <c:ptCount val="1"/>
                <c:pt idx="0">
                  <c:v>Capital Cost (Debt Repayment/Lease)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strRef>
              <c:f>'RORO Summary'!$A$64:$A$104</c:f>
              <c:strCache>
                <c:ptCount val="41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  <c:pt idx="7">
                  <c:v>Year 7</c:v>
                </c:pt>
                <c:pt idx="8">
                  <c:v>Year 8</c:v>
                </c:pt>
                <c:pt idx="9">
                  <c:v>Year 9</c:v>
                </c:pt>
                <c:pt idx="10">
                  <c:v>Year 10</c:v>
                </c:pt>
                <c:pt idx="11">
                  <c:v>Year 11</c:v>
                </c:pt>
                <c:pt idx="12">
                  <c:v>Year 12</c:v>
                </c:pt>
                <c:pt idx="13">
                  <c:v>Year 13</c:v>
                </c:pt>
                <c:pt idx="14">
                  <c:v>Year 14</c:v>
                </c:pt>
                <c:pt idx="15">
                  <c:v>Year 15</c:v>
                </c:pt>
                <c:pt idx="16">
                  <c:v>Year 16</c:v>
                </c:pt>
                <c:pt idx="17">
                  <c:v>Year 17</c:v>
                </c:pt>
                <c:pt idx="18">
                  <c:v>Year 18</c:v>
                </c:pt>
                <c:pt idx="19">
                  <c:v>Year 19</c:v>
                </c:pt>
                <c:pt idx="20">
                  <c:v>Year 20</c:v>
                </c:pt>
                <c:pt idx="21">
                  <c:v>Year 21</c:v>
                </c:pt>
                <c:pt idx="22">
                  <c:v>Year 22</c:v>
                </c:pt>
                <c:pt idx="23">
                  <c:v>Year 23</c:v>
                </c:pt>
                <c:pt idx="24">
                  <c:v>Year 24</c:v>
                </c:pt>
                <c:pt idx="25">
                  <c:v>Year 25</c:v>
                </c:pt>
                <c:pt idx="26">
                  <c:v>Year 26</c:v>
                </c:pt>
                <c:pt idx="27">
                  <c:v>Year 27</c:v>
                </c:pt>
                <c:pt idx="28">
                  <c:v>Year 28</c:v>
                </c:pt>
                <c:pt idx="29">
                  <c:v>Year 29</c:v>
                </c:pt>
                <c:pt idx="30">
                  <c:v>Year 30</c:v>
                </c:pt>
                <c:pt idx="31">
                  <c:v>Year 31</c:v>
                </c:pt>
                <c:pt idx="32">
                  <c:v>Year 32</c:v>
                </c:pt>
                <c:pt idx="33">
                  <c:v>Year 33</c:v>
                </c:pt>
                <c:pt idx="34">
                  <c:v>Year 34</c:v>
                </c:pt>
                <c:pt idx="35">
                  <c:v>Year 35</c:v>
                </c:pt>
                <c:pt idx="36">
                  <c:v>Year 36</c:v>
                </c:pt>
                <c:pt idx="37">
                  <c:v>Year 37</c:v>
                </c:pt>
                <c:pt idx="38">
                  <c:v>Year 38</c:v>
                </c:pt>
                <c:pt idx="39">
                  <c:v>Year 39</c:v>
                </c:pt>
                <c:pt idx="40">
                  <c:v>Year 40</c:v>
                </c:pt>
              </c:strCache>
            </c:strRef>
          </c:cat>
          <c:val>
            <c:numRef>
              <c:f>'RORO Summary'!$B$64:$B$104</c:f>
              <c:numCache>
                <c:formatCode>_("$"* #,##0_);_("$"* \(#,##0\);_("$"* "-"??_);_(@_)</c:formatCode>
                <c:ptCount val="41"/>
                <c:pt idx="0">
                  <c:v>881540.81632653065</c:v>
                </c:pt>
                <c:pt idx="1">
                  <c:v>304960.91023459646</c:v>
                </c:pt>
                <c:pt idx="2">
                  <c:v>304960.91023459646</c:v>
                </c:pt>
                <c:pt idx="3">
                  <c:v>304960.91023459646</c:v>
                </c:pt>
                <c:pt idx="4">
                  <c:v>304960.91023459646</c:v>
                </c:pt>
                <c:pt idx="5">
                  <c:v>304960.91023459646</c:v>
                </c:pt>
                <c:pt idx="6">
                  <c:v>304960.91023459646</c:v>
                </c:pt>
                <c:pt idx="7">
                  <c:v>304960.91023459646</c:v>
                </c:pt>
                <c:pt idx="8">
                  <c:v>304960.91023459646</c:v>
                </c:pt>
                <c:pt idx="9">
                  <c:v>304960.91023459646</c:v>
                </c:pt>
                <c:pt idx="10">
                  <c:v>304960.91023459646</c:v>
                </c:pt>
                <c:pt idx="11">
                  <c:v>304960.91023459646</c:v>
                </c:pt>
                <c:pt idx="12">
                  <c:v>304960.91023459646</c:v>
                </c:pt>
                <c:pt idx="13">
                  <c:v>304960.91023459646</c:v>
                </c:pt>
                <c:pt idx="14">
                  <c:v>304960.91023459646</c:v>
                </c:pt>
                <c:pt idx="15">
                  <c:v>304960.91023459646</c:v>
                </c:pt>
                <c:pt idx="16">
                  <c:v>304960.91023459646</c:v>
                </c:pt>
                <c:pt idx="17">
                  <c:v>304960.91023459646</c:v>
                </c:pt>
                <c:pt idx="18">
                  <c:v>304960.91023459646</c:v>
                </c:pt>
                <c:pt idx="19">
                  <c:v>304960.91023459646</c:v>
                </c:pt>
                <c:pt idx="20">
                  <c:v>304960.91023459646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'RORO Summary'!$C$63</c:f>
              <c:strCache>
                <c:ptCount val="1"/>
                <c:pt idx="0">
                  <c:v>Operating Cost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'RORO Summary'!$A$64:$A$104</c:f>
              <c:strCache>
                <c:ptCount val="41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  <c:pt idx="7">
                  <c:v>Year 7</c:v>
                </c:pt>
                <c:pt idx="8">
                  <c:v>Year 8</c:v>
                </c:pt>
                <c:pt idx="9">
                  <c:v>Year 9</c:v>
                </c:pt>
                <c:pt idx="10">
                  <c:v>Year 10</c:v>
                </c:pt>
                <c:pt idx="11">
                  <c:v>Year 11</c:v>
                </c:pt>
                <c:pt idx="12">
                  <c:v>Year 12</c:v>
                </c:pt>
                <c:pt idx="13">
                  <c:v>Year 13</c:v>
                </c:pt>
                <c:pt idx="14">
                  <c:v>Year 14</c:v>
                </c:pt>
                <c:pt idx="15">
                  <c:v>Year 15</c:v>
                </c:pt>
                <c:pt idx="16">
                  <c:v>Year 16</c:v>
                </c:pt>
                <c:pt idx="17">
                  <c:v>Year 17</c:v>
                </c:pt>
                <c:pt idx="18">
                  <c:v>Year 18</c:v>
                </c:pt>
                <c:pt idx="19">
                  <c:v>Year 19</c:v>
                </c:pt>
                <c:pt idx="20">
                  <c:v>Year 20</c:v>
                </c:pt>
                <c:pt idx="21">
                  <c:v>Year 21</c:v>
                </c:pt>
                <c:pt idx="22">
                  <c:v>Year 22</c:v>
                </c:pt>
                <c:pt idx="23">
                  <c:v>Year 23</c:v>
                </c:pt>
                <c:pt idx="24">
                  <c:v>Year 24</c:v>
                </c:pt>
                <c:pt idx="25">
                  <c:v>Year 25</c:v>
                </c:pt>
                <c:pt idx="26">
                  <c:v>Year 26</c:v>
                </c:pt>
                <c:pt idx="27">
                  <c:v>Year 27</c:v>
                </c:pt>
                <c:pt idx="28">
                  <c:v>Year 28</c:v>
                </c:pt>
                <c:pt idx="29">
                  <c:v>Year 29</c:v>
                </c:pt>
                <c:pt idx="30">
                  <c:v>Year 30</c:v>
                </c:pt>
                <c:pt idx="31">
                  <c:v>Year 31</c:v>
                </c:pt>
                <c:pt idx="32">
                  <c:v>Year 32</c:v>
                </c:pt>
                <c:pt idx="33">
                  <c:v>Year 33</c:v>
                </c:pt>
                <c:pt idx="34">
                  <c:v>Year 34</c:v>
                </c:pt>
                <c:pt idx="35">
                  <c:v>Year 35</c:v>
                </c:pt>
                <c:pt idx="36">
                  <c:v>Year 36</c:v>
                </c:pt>
                <c:pt idx="37">
                  <c:v>Year 37</c:v>
                </c:pt>
                <c:pt idx="38">
                  <c:v>Year 38</c:v>
                </c:pt>
                <c:pt idx="39">
                  <c:v>Year 39</c:v>
                </c:pt>
                <c:pt idx="40">
                  <c:v>Year 40</c:v>
                </c:pt>
              </c:strCache>
            </c:strRef>
          </c:cat>
          <c:val>
            <c:numRef>
              <c:f>'RORO Summary'!$C$64:$C$104</c:f>
              <c:numCache>
                <c:formatCode>_("$"* #,##0_);_("$"* \(#,##0\);_("$"* "-"??_);_(@_)</c:formatCode>
                <c:ptCount val="41"/>
                <c:pt idx="0">
                  <c:v>0</c:v>
                </c:pt>
                <c:pt idx="1">
                  <c:v>719000</c:v>
                </c:pt>
                <c:pt idx="2">
                  <c:v>744000</c:v>
                </c:pt>
                <c:pt idx="3">
                  <c:v>772000</c:v>
                </c:pt>
                <c:pt idx="4">
                  <c:v>800000</c:v>
                </c:pt>
                <c:pt idx="5">
                  <c:v>831000</c:v>
                </c:pt>
                <c:pt idx="6">
                  <c:v>863000</c:v>
                </c:pt>
                <c:pt idx="7">
                  <c:v>897000</c:v>
                </c:pt>
                <c:pt idx="8">
                  <c:v>934000</c:v>
                </c:pt>
                <c:pt idx="9">
                  <c:v>973000</c:v>
                </c:pt>
                <c:pt idx="10">
                  <c:v>1015000</c:v>
                </c:pt>
                <c:pt idx="11">
                  <c:v>1059000</c:v>
                </c:pt>
                <c:pt idx="12">
                  <c:v>1106000</c:v>
                </c:pt>
                <c:pt idx="13">
                  <c:v>1157000</c:v>
                </c:pt>
                <c:pt idx="14">
                  <c:v>1212000</c:v>
                </c:pt>
                <c:pt idx="15">
                  <c:v>1270000</c:v>
                </c:pt>
                <c:pt idx="16">
                  <c:v>1333000</c:v>
                </c:pt>
                <c:pt idx="17">
                  <c:v>1401000</c:v>
                </c:pt>
                <c:pt idx="18">
                  <c:v>1474000</c:v>
                </c:pt>
                <c:pt idx="19">
                  <c:v>1553000</c:v>
                </c:pt>
                <c:pt idx="20">
                  <c:v>1637000</c:v>
                </c:pt>
                <c:pt idx="21">
                  <c:v>1729000</c:v>
                </c:pt>
                <c:pt idx="22">
                  <c:v>1828000</c:v>
                </c:pt>
                <c:pt idx="23">
                  <c:v>1936000</c:v>
                </c:pt>
                <c:pt idx="24">
                  <c:v>2052000</c:v>
                </c:pt>
                <c:pt idx="25">
                  <c:v>2178000</c:v>
                </c:pt>
                <c:pt idx="26">
                  <c:v>2315000</c:v>
                </c:pt>
                <c:pt idx="27">
                  <c:v>2464000</c:v>
                </c:pt>
                <c:pt idx="28">
                  <c:v>2626000</c:v>
                </c:pt>
                <c:pt idx="29">
                  <c:v>2801000</c:v>
                </c:pt>
                <c:pt idx="30">
                  <c:v>2993000</c:v>
                </c:pt>
                <c:pt idx="31">
                  <c:v>3201000</c:v>
                </c:pt>
                <c:pt idx="32">
                  <c:v>3428000</c:v>
                </c:pt>
                <c:pt idx="33">
                  <c:v>3676000</c:v>
                </c:pt>
                <c:pt idx="34">
                  <c:v>3946000</c:v>
                </c:pt>
                <c:pt idx="35">
                  <c:v>4241000</c:v>
                </c:pt>
                <c:pt idx="36">
                  <c:v>4563000</c:v>
                </c:pt>
                <c:pt idx="37">
                  <c:v>4915000</c:v>
                </c:pt>
                <c:pt idx="38">
                  <c:v>5300000</c:v>
                </c:pt>
                <c:pt idx="39">
                  <c:v>5721000</c:v>
                </c:pt>
                <c:pt idx="40">
                  <c:v>6181000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100"/>
        <c:axId val="107539072"/>
        <c:axId val="108192128"/>
      </c:barChart>
      <c:catAx>
        <c:axId val="10753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192128"/>
        <c:crosses val="autoZero"/>
        <c:auto val="1"/>
        <c:lblAlgn val="ctr"/>
        <c:lblOffset val="100"/>
        <c:noMultiLvlLbl val="0"/>
      </c:catAx>
      <c:valAx>
        <c:axId val="10819212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7539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91563370479491"/>
          <c:y val="0.15859560598368055"/>
          <c:w val="0.23019144578530629"/>
          <c:h val="0.123086892100593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Annual Operating Costs</a:t>
            </a:r>
          </a:p>
        </c:rich>
      </c:tx>
      <c:layout>
        <c:manualLayout>
          <c:xMode val="edge"/>
          <c:yMode val="edge"/>
          <c:x val="0.40484748807666232"/>
          <c:y val="2.1825375837250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19548471075252E-2"/>
          <c:y val="0.11999342046805714"/>
          <c:w val="0.88977530247743464"/>
          <c:h val="0.604656341103245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'Pax Operate Maint'!$A$4</c:f>
              <c:strCache>
                <c:ptCount val="1"/>
                <c:pt idx="0">
                  <c:v>Annual On-board Labor Cost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Maint'!$C$4:$J$4</c:f>
              <c:numCache>
                <c:formatCode>_("$"* #,##0_);_("$"* \(#,##0\);_("$"* "-"??_);_(@_)</c:formatCode>
                <c:ptCount val="8"/>
                <c:pt idx="0">
                  <c:v>255436.70624999999</c:v>
                </c:pt>
                <c:pt idx="1">
                  <c:v>272213.625</c:v>
                </c:pt>
                <c:pt idx="2">
                  <c:v>272213.625</c:v>
                </c:pt>
                <c:pt idx="3">
                  <c:v>150085.35</c:v>
                </c:pt>
                <c:pt idx="4">
                  <c:v>122128.27499999999</c:v>
                </c:pt>
                <c:pt idx="5">
                  <c:v>122128.27499999999</c:v>
                </c:pt>
                <c:pt idx="6">
                  <c:v>77985.524999999994</c:v>
                </c:pt>
                <c:pt idx="7">
                  <c:v>98161.125000000015</c:v>
                </c:pt>
              </c:numCache>
            </c:numRef>
          </c:val>
        </c:ser>
        <c:ser>
          <c:idx val="1"/>
          <c:order val="1"/>
          <c:tx>
            <c:strRef>
              <c:f>'Pax Operate Maint'!$A$5</c:f>
              <c:strCache>
                <c:ptCount val="1"/>
                <c:pt idx="0">
                  <c:v>Annual Fuel + Lubricant Cost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Maint'!$C$5:$J$5</c:f>
              <c:numCache>
                <c:formatCode>_("$"* #,##0_);_("$"* \(#,##0\);_("$"* "-"??_);_(@_)</c:formatCode>
                <c:ptCount val="8"/>
                <c:pt idx="0">
                  <c:v>124406.45759918251</c:v>
                </c:pt>
                <c:pt idx="1">
                  <c:v>148858.84756190548</c:v>
                </c:pt>
                <c:pt idx="2">
                  <c:v>179614.41481908434</c:v>
                </c:pt>
                <c:pt idx="3">
                  <c:v>106879.16211444358</c:v>
                </c:pt>
                <c:pt idx="4">
                  <c:v>151817.83710326909</c:v>
                </c:pt>
                <c:pt idx="5">
                  <c:v>154550.91068748425</c:v>
                </c:pt>
                <c:pt idx="6">
                  <c:v>187367.53836178585</c:v>
                </c:pt>
                <c:pt idx="7">
                  <c:v>205446.42155710104</c:v>
                </c:pt>
              </c:numCache>
            </c:numRef>
          </c:val>
        </c:ser>
        <c:ser>
          <c:idx val="2"/>
          <c:order val="2"/>
          <c:tx>
            <c:strRef>
              <c:f>'Pax Operate Maint'!$A$6</c:f>
              <c:strCache>
                <c:ptCount val="1"/>
                <c:pt idx="0">
                  <c:v>Annual Maintenance Cost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Maint'!$C$6:$J$6</c:f>
              <c:numCache>
                <c:formatCode>_("$"* #,##0_);_("$"* \(#,##0\);_("$"* "-"??_);_(@_)</c:formatCode>
                <c:ptCount val="8"/>
                <c:pt idx="0">
                  <c:v>117536.38448275861</c:v>
                </c:pt>
                <c:pt idx="1">
                  <c:v>111398.72164948453</c:v>
                </c:pt>
                <c:pt idx="2">
                  <c:v>162920.63041237113</c:v>
                </c:pt>
                <c:pt idx="3">
                  <c:v>63871.919999999984</c:v>
                </c:pt>
                <c:pt idx="4">
                  <c:v>117738.04218750002</c:v>
                </c:pt>
                <c:pt idx="5">
                  <c:v>75079.331250000003</c:v>
                </c:pt>
                <c:pt idx="6">
                  <c:v>156049.4142857143</c:v>
                </c:pt>
                <c:pt idx="7">
                  <c:v>100699.78285714284</c:v>
                </c:pt>
              </c:numCache>
            </c:numRef>
          </c:val>
        </c:ser>
        <c:ser>
          <c:idx val="3"/>
          <c:order val="3"/>
          <c:tx>
            <c:strRef>
              <c:f>'Pax Operate Maint'!$A$7</c:f>
              <c:strCache>
                <c:ptCount val="1"/>
                <c:pt idx="0">
                  <c:v>Hull and P&amp;I Insurance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Maint'!$C$7:$J$7</c:f>
              <c:numCache>
                <c:formatCode>_("$"* #,##0_);_("$"* \(#,##0\);_("$"* "-"??_);_(@_)</c:formatCode>
                <c:ptCount val="8"/>
                <c:pt idx="0">
                  <c:v>62494.137931034486</c:v>
                </c:pt>
                <c:pt idx="1">
                  <c:v>67703.298969072173</c:v>
                </c:pt>
                <c:pt idx="2">
                  <c:v>76288.824742268043</c:v>
                </c:pt>
                <c:pt idx="3">
                  <c:v>67138.125</c:v>
                </c:pt>
                <c:pt idx="4">
                  <c:v>89584.0625</c:v>
                </c:pt>
                <c:pt idx="5">
                  <c:v>74930.416666666672</c:v>
                </c:pt>
                <c:pt idx="6">
                  <c:v>127009.43877551021</c:v>
                </c:pt>
                <c:pt idx="7">
                  <c:v>127559.97959183673</c:v>
                </c:pt>
              </c:numCache>
            </c:numRef>
          </c:val>
        </c:ser>
        <c:ser>
          <c:idx val="4"/>
          <c:order val="4"/>
          <c:tx>
            <c:strRef>
              <c:f>'Pax Operate Maint'!$A$8</c:f>
              <c:strCache>
                <c:ptCount val="1"/>
                <c:pt idx="0">
                  <c:v>Marketing, Advertising, Management, Overhead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Maint'!$C$8:$J$8</c:f>
              <c:numCache>
                <c:formatCode>_("$"* #,##0_);_("$"* \(#,##0\);_("$"* "-"??_);_(@_)</c:formatCode>
                <c:ptCount val="8"/>
                <c:pt idx="0">
                  <c:v>154240</c:v>
                </c:pt>
                <c:pt idx="1">
                  <c:v>154240</c:v>
                </c:pt>
                <c:pt idx="2">
                  <c:v>154240</c:v>
                </c:pt>
                <c:pt idx="3">
                  <c:v>154240</c:v>
                </c:pt>
                <c:pt idx="4">
                  <c:v>154240</c:v>
                </c:pt>
                <c:pt idx="5">
                  <c:v>154240</c:v>
                </c:pt>
                <c:pt idx="6">
                  <c:v>154240</c:v>
                </c:pt>
                <c:pt idx="7">
                  <c:v>154240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6646656"/>
        <c:axId val="96648192"/>
      </c:barChart>
      <c:catAx>
        <c:axId val="96646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6648192"/>
        <c:crosses val="autoZero"/>
        <c:auto val="1"/>
        <c:lblAlgn val="ctr"/>
        <c:lblOffset val="100"/>
        <c:noMultiLvlLbl val="0"/>
      </c:catAx>
      <c:valAx>
        <c:axId val="96648192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96646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7176694019508635E-2"/>
          <c:y val="0.84918587879218099"/>
          <c:w val="0.7180392065160871"/>
          <c:h val="0.1508141212078229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'Pax Operate Maint'!$A$4</c:f>
              <c:strCache>
                <c:ptCount val="1"/>
                <c:pt idx="0">
                  <c:v>Annual On-board Labor Cost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Maint'!$C$4:$J$4</c:f>
              <c:numCache>
                <c:formatCode>_("$"* #,##0_);_("$"* \(#,##0\);_("$"* "-"??_);_(@_)</c:formatCode>
                <c:ptCount val="8"/>
                <c:pt idx="0">
                  <c:v>255436.70624999999</c:v>
                </c:pt>
                <c:pt idx="1">
                  <c:v>272213.625</c:v>
                </c:pt>
                <c:pt idx="2">
                  <c:v>272213.625</c:v>
                </c:pt>
                <c:pt idx="3">
                  <c:v>150085.35</c:v>
                </c:pt>
                <c:pt idx="4">
                  <c:v>122128.27499999999</c:v>
                </c:pt>
                <c:pt idx="5">
                  <c:v>122128.27499999999</c:v>
                </c:pt>
                <c:pt idx="6">
                  <c:v>77985.524999999994</c:v>
                </c:pt>
                <c:pt idx="7">
                  <c:v>98161.125000000015</c:v>
                </c:pt>
              </c:numCache>
            </c:numRef>
          </c:val>
        </c:ser>
        <c:ser>
          <c:idx val="1"/>
          <c:order val="1"/>
          <c:tx>
            <c:strRef>
              <c:f>'Pax Operate Maint'!$A$5</c:f>
              <c:strCache>
                <c:ptCount val="1"/>
                <c:pt idx="0">
                  <c:v>Annual Fuel + Lubricant Cost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Maint'!$C$5:$J$5</c:f>
              <c:numCache>
                <c:formatCode>_("$"* #,##0_);_("$"* \(#,##0\);_("$"* "-"??_);_(@_)</c:formatCode>
                <c:ptCount val="8"/>
                <c:pt idx="0">
                  <c:v>124406.45759918251</c:v>
                </c:pt>
                <c:pt idx="1">
                  <c:v>148858.84756190548</c:v>
                </c:pt>
                <c:pt idx="2">
                  <c:v>179614.41481908434</c:v>
                </c:pt>
                <c:pt idx="3">
                  <c:v>106879.16211444358</c:v>
                </c:pt>
                <c:pt idx="4">
                  <c:v>151817.83710326909</c:v>
                </c:pt>
                <c:pt idx="5">
                  <c:v>154550.91068748425</c:v>
                </c:pt>
                <c:pt idx="6">
                  <c:v>187367.53836178585</c:v>
                </c:pt>
                <c:pt idx="7">
                  <c:v>205446.42155710104</c:v>
                </c:pt>
              </c:numCache>
            </c:numRef>
          </c:val>
        </c:ser>
        <c:ser>
          <c:idx val="2"/>
          <c:order val="2"/>
          <c:tx>
            <c:strRef>
              <c:f>'Pax Operate Maint'!$A$6</c:f>
              <c:strCache>
                <c:ptCount val="1"/>
                <c:pt idx="0">
                  <c:v>Annual Maintenance Cost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Maint'!$C$6:$J$6</c:f>
              <c:numCache>
                <c:formatCode>_("$"* #,##0_);_("$"* \(#,##0\);_("$"* "-"??_);_(@_)</c:formatCode>
                <c:ptCount val="8"/>
                <c:pt idx="0">
                  <c:v>117536.38448275861</c:v>
                </c:pt>
                <c:pt idx="1">
                  <c:v>111398.72164948453</c:v>
                </c:pt>
                <c:pt idx="2">
                  <c:v>162920.63041237113</c:v>
                </c:pt>
                <c:pt idx="3">
                  <c:v>63871.919999999984</c:v>
                </c:pt>
                <c:pt idx="4">
                  <c:v>117738.04218750002</c:v>
                </c:pt>
                <c:pt idx="5">
                  <c:v>75079.331250000003</c:v>
                </c:pt>
                <c:pt idx="6">
                  <c:v>156049.4142857143</c:v>
                </c:pt>
                <c:pt idx="7">
                  <c:v>100699.78285714284</c:v>
                </c:pt>
              </c:numCache>
            </c:numRef>
          </c:val>
        </c:ser>
        <c:ser>
          <c:idx val="3"/>
          <c:order val="3"/>
          <c:tx>
            <c:strRef>
              <c:f>'Pax Operate Maint'!$A$7</c:f>
              <c:strCache>
                <c:ptCount val="1"/>
                <c:pt idx="0">
                  <c:v>Hull and P&amp;I Insurance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Maint'!$C$7:$J$7</c:f>
              <c:numCache>
                <c:formatCode>_("$"* #,##0_);_("$"* \(#,##0\);_("$"* "-"??_);_(@_)</c:formatCode>
                <c:ptCount val="8"/>
                <c:pt idx="0">
                  <c:v>62494.137931034486</c:v>
                </c:pt>
                <c:pt idx="1">
                  <c:v>67703.298969072173</c:v>
                </c:pt>
                <c:pt idx="2">
                  <c:v>76288.824742268043</c:v>
                </c:pt>
                <c:pt idx="3">
                  <c:v>67138.125</c:v>
                </c:pt>
                <c:pt idx="4">
                  <c:v>89584.0625</c:v>
                </c:pt>
                <c:pt idx="5">
                  <c:v>74930.416666666672</c:v>
                </c:pt>
                <c:pt idx="6">
                  <c:v>127009.43877551021</c:v>
                </c:pt>
                <c:pt idx="7">
                  <c:v>127559.97959183673</c:v>
                </c:pt>
              </c:numCache>
            </c:numRef>
          </c:val>
        </c:ser>
        <c:ser>
          <c:idx val="4"/>
          <c:order val="4"/>
          <c:tx>
            <c:strRef>
              <c:f>'Pax Operate Maint'!$A$8</c:f>
              <c:strCache>
                <c:ptCount val="1"/>
                <c:pt idx="0">
                  <c:v>Marketing, Advertising, Management, Overhead</c:v>
                </c:pt>
              </c:strCache>
            </c:strRef>
          </c:tx>
          <c:invertIfNegative val="0"/>
          <c:cat>
            <c:strRef>
              <c:f>'Pax Operate Maint'!$C$2:$J$2</c:f>
              <c:strCache>
                <c:ptCount val="8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</c:strCache>
            </c:strRef>
          </c:cat>
          <c:val>
            <c:numRef>
              <c:f>'Pax Operate Maint'!$C$8:$J$8</c:f>
              <c:numCache>
                <c:formatCode>_("$"* #,##0_);_("$"* \(#,##0\);_("$"* "-"??_);_(@_)</c:formatCode>
                <c:ptCount val="8"/>
                <c:pt idx="0">
                  <c:v>154240</c:v>
                </c:pt>
                <c:pt idx="1">
                  <c:v>154240</c:v>
                </c:pt>
                <c:pt idx="2">
                  <c:v>154240</c:v>
                </c:pt>
                <c:pt idx="3">
                  <c:v>154240</c:v>
                </c:pt>
                <c:pt idx="4">
                  <c:v>154240</c:v>
                </c:pt>
                <c:pt idx="5">
                  <c:v>154240</c:v>
                </c:pt>
                <c:pt idx="6">
                  <c:v>154240</c:v>
                </c:pt>
                <c:pt idx="7">
                  <c:v>154240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5423616"/>
        <c:axId val="105425152"/>
      </c:barChart>
      <c:catAx>
        <c:axId val="1054236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425152"/>
        <c:crosses val="autoZero"/>
        <c:auto val="1"/>
        <c:lblAlgn val="ctr"/>
        <c:lblOffset val="100"/>
        <c:noMultiLvlLbl val="0"/>
      </c:catAx>
      <c:valAx>
        <c:axId val="1054251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crossAx val="1054236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Total Cost, Year 0-25</a:t>
            </a:r>
          </a:p>
        </c:rich>
      </c:tx>
      <c:layout>
        <c:manualLayout>
          <c:xMode val="edge"/>
          <c:yMode val="edge"/>
          <c:x val="0.32671916010498842"/>
          <c:y val="4.13971196778939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520220756587823E-2"/>
          <c:y val="0.10342261440702712"/>
          <c:w val="0.85003937683251563"/>
          <c:h val="0.741037353126784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'Pax Summary'!$A$46</c:f>
              <c:strCache>
                <c:ptCount val="1"/>
                <c:pt idx="0">
                  <c:v>Total Operating Costs (Year 0-25)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noFill/>
              <a:ln w="85725"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dPt>
          <c:errBars>
            <c:errBarType val="both"/>
            <c:errValType val="cust"/>
            <c:noEndCap val="0"/>
            <c:plus>
              <c:numRef>
                <c:f>'Pax Summary'!$B$61:$J$61</c:f>
                <c:numCache>
                  <c:formatCode>General</c:formatCode>
                  <c:ptCount val="9"/>
                  <c:pt idx="0">
                    <c:v>3000000</c:v>
                  </c:pt>
                  <c:pt idx="1">
                    <c:v>4200000</c:v>
                  </c:pt>
                  <c:pt idx="2">
                    <c:v>8600000</c:v>
                  </c:pt>
                  <c:pt idx="3">
                    <c:v>3800000</c:v>
                  </c:pt>
                  <c:pt idx="4">
                    <c:v>9100000</c:v>
                  </c:pt>
                  <c:pt idx="5">
                    <c:v>8000000</c:v>
                  </c:pt>
                  <c:pt idx="6">
                    <c:v>15600000</c:v>
                  </c:pt>
                  <c:pt idx="7">
                    <c:v>15600000</c:v>
                  </c:pt>
                </c:numCache>
              </c:numRef>
            </c:plus>
            <c:minus>
              <c:numRef>
                <c:f>'Pax Summary'!$B$60:$J$60</c:f>
                <c:numCache>
                  <c:formatCode>General</c:formatCode>
                  <c:ptCount val="9"/>
                  <c:pt idx="0">
                    <c:v>3000000</c:v>
                  </c:pt>
                  <c:pt idx="1">
                    <c:v>4200000</c:v>
                  </c:pt>
                  <c:pt idx="2">
                    <c:v>8500000</c:v>
                  </c:pt>
                  <c:pt idx="3">
                    <c:v>3800000</c:v>
                  </c:pt>
                  <c:pt idx="4">
                    <c:v>9000000</c:v>
                  </c:pt>
                  <c:pt idx="5">
                    <c:v>8100000</c:v>
                  </c:pt>
                  <c:pt idx="6">
                    <c:v>15700000</c:v>
                  </c:pt>
                  <c:pt idx="7">
                    <c:v>15400000</c:v>
                  </c:pt>
                </c:numCache>
              </c:numRef>
            </c:minus>
            <c:spPr>
              <a:ln w="31750">
                <a:solidFill>
                  <a:schemeClr val="accent3">
                    <a:lumMod val="50000"/>
                  </a:schemeClr>
                </a:solidFill>
              </a:ln>
            </c:spPr>
          </c:errBars>
          <c:cat>
            <c:strRef>
              <c:f>'Pax Summary'!$L$2:$T$2</c:f>
              <c:strCache>
                <c:ptCount val="9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  <c:pt idx="8">
                  <c:v>Manual Fleet</c:v>
                </c:pt>
              </c:strCache>
            </c:strRef>
          </c:cat>
          <c:val>
            <c:numRef>
              <c:f>'Pax Summary'!$B$59:$J$59</c:f>
              <c:numCache>
                <c:formatCode>_("$"* #,##0_);_("$"* \(#,##0\);_("$"* "-"??_);_(@_)</c:formatCode>
                <c:ptCount val="9"/>
                <c:pt idx="0">
                  <c:v>33200000</c:v>
                </c:pt>
                <c:pt idx="1">
                  <c:v>36500000</c:v>
                </c:pt>
                <c:pt idx="2">
                  <c:v>42500000</c:v>
                </c:pt>
                <c:pt idx="3">
                  <c:v>26500000</c:v>
                </c:pt>
                <c:pt idx="4">
                  <c:v>34600000</c:v>
                </c:pt>
                <c:pt idx="5">
                  <c:v>31600000</c:v>
                </c:pt>
                <c:pt idx="6">
                  <c:v>42400000</c:v>
                </c:pt>
                <c:pt idx="7">
                  <c:v>42600000</c:v>
                </c:pt>
                <c:pt idx="8">
                  <c:v>47482787.957120806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"/>
        <c:axId val="104057856"/>
        <c:axId val="104059648"/>
      </c:barChart>
      <c:barChart>
        <c:barDir val="col"/>
        <c:grouping val="clustered"/>
        <c:varyColors val="0"/>
        <c:ser>
          <c:idx val="4"/>
          <c:order val="1"/>
          <c:tx>
            <c:strRef>
              <c:f>'Pax Summary'!$A$50</c:f>
              <c:strCache>
                <c:ptCount val="1"/>
                <c:pt idx="0">
                  <c:v>Total Capital Costs (Year 0-25)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cat>
            <c:strRef>
              <c:f>'Pax Summary'!$L$2:$T$2</c:f>
              <c:strCache>
                <c:ptCount val="9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  <c:pt idx="8">
                  <c:v>Manual Fleet</c:v>
                </c:pt>
              </c:strCache>
            </c:strRef>
          </c:cat>
          <c:val>
            <c:numRef>
              <c:f>'Pax Summary'!$B$51:$J$51</c:f>
              <c:numCache>
                <c:formatCode>_("$"* #,##0_);_("$"* \(#,##0\);_("$"* "-"??_);_(@_)</c:formatCode>
                <c:ptCount val="9"/>
                <c:pt idx="0">
                  <c:v>1100000</c:v>
                </c:pt>
                <c:pt idx="1">
                  <c:v>1500000</c:v>
                </c:pt>
                <c:pt idx="2">
                  <c:v>2200000</c:v>
                </c:pt>
                <c:pt idx="3">
                  <c:v>1500000</c:v>
                </c:pt>
                <c:pt idx="4">
                  <c:v>3200000</c:v>
                </c:pt>
                <c:pt idx="5">
                  <c:v>2100000</c:v>
                </c:pt>
                <c:pt idx="6">
                  <c:v>6200000</c:v>
                </c:pt>
                <c:pt idx="7">
                  <c:v>6200000</c:v>
                </c:pt>
                <c:pt idx="8">
                  <c:v>2298787.957120805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1"/>
        <c:axId val="105906176"/>
        <c:axId val="104061184"/>
      </c:barChart>
      <c:catAx>
        <c:axId val="10405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anchor="ctr" anchorCtr="0"/>
          <a:lstStyle/>
          <a:p>
            <a:pPr>
              <a:defRPr sz="800"/>
            </a:pPr>
            <a:endParaRPr lang="en-US"/>
          </a:p>
        </c:txPr>
        <c:crossAx val="104059648"/>
        <c:crosses val="autoZero"/>
        <c:auto val="1"/>
        <c:lblAlgn val="ctr"/>
        <c:lblOffset val="0"/>
        <c:noMultiLvlLbl val="0"/>
      </c:catAx>
      <c:valAx>
        <c:axId val="104059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4057856"/>
        <c:crosses val="autoZero"/>
        <c:crossBetween val="between"/>
      </c:valAx>
      <c:valAx>
        <c:axId val="104061184"/>
        <c:scaling>
          <c:orientation val="minMax"/>
          <c:max val="3500"/>
        </c:scaling>
        <c:delete val="1"/>
        <c:axPos val="r"/>
        <c:numFmt formatCode="_(&quot;$&quot;* #,##0_);_(&quot;$&quot;* \(#,##0\);_(&quot;$&quot;* &quot;-&quot;??_);_(@_)" sourceLinked="1"/>
        <c:majorTickMark val="out"/>
        <c:minorTickMark val="none"/>
        <c:tickLblPos val="none"/>
        <c:crossAx val="105906176"/>
        <c:crosses val="max"/>
        <c:crossBetween val="between"/>
      </c:valAx>
      <c:catAx>
        <c:axId val="105906176"/>
        <c:scaling>
          <c:orientation val="minMax"/>
        </c:scaling>
        <c:delete val="1"/>
        <c:axPos val="b"/>
        <c:majorTickMark val="out"/>
        <c:minorTickMark val="none"/>
        <c:tickLblPos val="none"/>
        <c:crossAx val="1040611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0.13577136862335418"/>
          <c:y val="0.12502374295578383"/>
          <c:w val="0.54423638936274221"/>
          <c:h val="0.15446415763394866"/>
        </c:manualLayout>
      </c:layout>
      <c:overlay val="0"/>
    </c:legend>
    <c:plotVisOnly val="1"/>
    <c:dispBlanksAs val="gap"/>
    <c:showDLblsOverMax val="0"/>
  </c:chart>
  <c:printSettings>
    <c:headerFooter>
      <c:oddFooter>&amp;C&amp;D</c:oddFooter>
    </c:headerFooter>
    <c:pageMargins b="0.75000000000000588" l="0.70000000000000062" r="0.70000000000000062" t="0.75000000000000588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Hourly Cost, Year</a:t>
            </a:r>
            <a:r>
              <a:rPr lang="en-US" sz="1600" baseline="0"/>
              <a:t> 1</a:t>
            </a:r>
            <a:endParaRPr lang="en-US" sz="1600"/>
          </a:p>
        </c:rich>
      </c:tx>
      <c:layout>
        <c:manualLayout>
          <c:xMode val="edge"/>
          <c:yMode val="edge"/>
          <c:x val="0.32671916010498853"/>
          <c:y val="4.13971196778939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520220756587823E-2"/>
          <c:y val="8.9020917047924197E-2"/>
          <c:w val="0.90280422306825281"/>
          <c:h val="0.763961566745913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'Pax Summary'!$A$37</c:f>
              <c:strCache>
                <c:ptCount val="1"/>
                <c:pt idx="0">
                  <c:v>Operating cost per operating hour (Year 1)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noFill/>
              <a:ln w="98425"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dPt>
          <c:errBars>
            <c:errBarType val="both"/>
            <c:errValType val="cust"/>
            <c:noEndCap val="0"/>
            <c:plus>
              <c:numRef>
                <c:f>'Pax Summary'!$B$57:$I$57</c:f>
                <c:numCache>
                  <c:formatCode>General</c:formatCode>
                  <c:ptCount val="8"/>
                  <c:pt idx="0">
                    <c:v>79.58582484565548</c:v>
                  </c:pt>
                  <c:pt idx="1">
                    <c:v>93.788050377387336</c:v>
                  </c:pt>
                  <c:pt idx="2">
                    <c:v>189.15325815456032</c:v>
                  </c:pt>
                  <c:pt idx="3">
                    <c:v>87.856947059838859</c:v>
                  </c:pt>
                  <c:pt idx="4">
                    <c:v>212.10492801267031</c:v>
                  </c:pt>
                  <c:pt idx="5">
                    <c:v>144.24474203929196</c:v>
                  </c:pt>
                  <c:pt idx="6">
                    <c:v>397.09764861405336</c:v>
                  </c:pt>
                  <c:pt idx="7">
                    <c:v>381.12617626301994</c:v>
                  </c:pt>
                </c:numCache>
              </c:numRef>
            </c:plus>
            <c:minus>
              <c:numRef>
                <c:f>'Pax Summary'!$B$56:$I$56</c:f>
                <c:numCache>
                  <c:formatCode>General</c:formatCode>
                  <c:ptCount val="8"/>
                  <c:pt idx="0">
                    <c:v>79.585824845655367</c:v>
                  </c:pt>
                  <c:pt idx="1">
                    <c:v>92.910857394931242</c:v>
                  </c:pt>
                  <c:pt idx="2">
                    <c:v>189.15325815456023</c:v>
                  </c:pt>
                  <c:pt idx="3">
                    <c:v>87.856947059838888</c:v>
                  </c:pt>
                  <c:pt idx="4">
                    <c:v>212.98212099512654</c:v>
                  </c:pt>
                  <c:pt idx="5">
                    <c:v>144.24474203929196</c:v>
                  </c:pt>
                  <c:pt idx="6">
                    <c:v>397.09764861405336</c:v>
                  </c:pt>
                  <c:pt idx="7">
                    <c:v>381.12617626302017</c:v>
                  </c:pt>
                </c:numCache>
              </c:numRef>
            </c:minus>
            <c:spPr>
              <a:ln w="41275">
                <a:solidFill>
                  <a:schemeClr val="accent6">
                    <a:lumMod val="50000"/>
                  </a:schemeClr>
                </a:solidFill>
              </a:ln>
            </c:spPr>
          </c:errBars>
          <c:cat>
            <c:strRef>
              <c:f>'Pax Summary'!$L$2:$T$2</c:f>
              <c:strCache>
                <c:ptCount val="9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  <c:pt idx="8">
                  <c:v>Manual Fleet</c:v>
                </c:pt>
              </c:strCache>
            </c:strRef>
          </c:cat>
          <c:val>
            <c:numRef>
              <c:f>'Pax Summary'!$B$55:$J$55</c:f>
              <c:numCache>
                <c:formatCode>_("$"* #,##0_);_("$"* \(#,##0\);_("$"* "-"??_);_(@_)</c:formatCode>
                <c:ptCount val="9"/>
                <c:pt idx="0">
                  <c:v>668.18745315908711</c:v>
                </c:pt>
                <c:pt idx="1">
                  <c:v>718.98887669423618</c:v>
                </c:pt>
                <c:pt idx="2">
                  <c:v>824.7121215389335</c:v>
                </c:pt>
                <c:pt idx="3">
                  <c:v>531.3190878455905</c:v>
                </c:pt>
                <c:pt idx="4">
                  <c:v>681.48456192977187</c:v>
                </c:pt>
                <c:pt idx="5">
                  <c:v>589.03546581072976</c:v>
                </c:pt>
                <c:pt idx="6">
                  <c:v>853.15207886594317</c:v>
                </c:pt>
                <c:pt idx="7">
                  <c:v>839.90053306850996</c:v>
                </c:pt>
                <c:pt idx="8">
                  <c:v>896.99896924506447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"/>
        <c:axId val="105953920"/>
        <c:axId val="105963904"/>
      </c:barChart>
      <c:barChart>
        <c:barDir val="col"/>
        <c:grouping val="clustered"/>
        <c:varyColors val="0"/>
        <c:ser>
          <c:idx val="0"/>
          <c:order val="1"/>
          <c:tx>
            <c:strRef>
              <c:f>'Pax Summary'!$A$41</c:f>
              <c:strCache>
                <c:ptCount val="1"/>
                <c:pt idx="0">
                  <c:v>Capital cost per operating hour (Year 1)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'Pax Summary'!$L$2:$T$2</c:f>
              <c:strCache>
                <c:ptCount val="9"/>
                <c:pt idx="0">
                  <c:v>12-30 Pax Skiff</c:v>
                </c:pt>
                <c:pt idx="1">
                  <c:v>31-50 Pax Pontoon</c:v>
                </c:pt>
                <c:pt idx="2">
                  <c:v>31-50 Pax Mono or Cat</c:v>
                </c:pt>
                <c:pt idx="3">
                  <c:v>51-100 Pax, &lt;20kt</c:v>
                </c:pt>
                <c:pt idx="4">
                  <c:v>51-100 Pax, &gt;20kt</c:v>
                </c:pt>
                <c:pt idx="5">
                  <c:v>101-150 Pax, &lt;20kt</c:v>
                </c:pt>
                <c:pt idx="6">
                  <c:v>101-150 Pax, &gt;20kt</c:v>
                </c:pt>
                <c:pt idx="7">
                  <c:v>151-300 Pax</c:v>
                </c:pt>
                <c:pt idx="8">
                  <c:v>Manual Fleet</c:v>
                </c:pt>
              </c:strCache>
            </c:strRef>
          </c:cat>
          <c:val>
            <c:numRef>
              <c:f>'Pax Summary'!$B$42:$J$42</c:f>
              <c:numCache>
                <c:formatCode>_("$"* #,##0_);_("$"* \(#,##0\);_("$"* "-"??_);_(@_)</c:formatCode>
                <c:ptCount val="9"/>
                <c:pt idx="0">
                  <c:v>41.871663685402943</c:v>
                </c:pt>
                <c:pt idx="1">
                  <c:v>57.585367922306318</c:v>
                </c:pt>
                <c:pt idx="2">
                  <c:v>83.484051363494885</c:v>
                </c:pt>
                <c:pt idx="3">
                  <c:v>55.880491354362412</c:v>
                </c:pt>
                <c:pt idx="4">
                  <c:v>123.58982508766657</c:v>
                </c:pt>
                <c:pt idx="5">
                  <c:v>79.386343003712241</c:v>
                </c:pt>
                <c:pt idx="6">
                  <c:v>236.48541219927654</c:v>
                </c:pt>
                <c:pt idx="7">
                  <c:v>238.14614710359766</c:v>
                </c:pt>
                <c:pt idx="8">
                  <c:v>88.227039420503104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1"/>
        <c:axId val="105966976"/>
        <c:axId val="105965440"/>
      </c:barChart>
      <c:catAx>
        <c:axId val="1059539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anchor="ctr" anchorCtr="0"/>
          <a:lstStyle/>
          <a:p>
            <a:pPr>
              <a:defRPr sz="800"/>
            </a:pPr>
            <a:endParaRPr lang="en-US"/>
          </a:p>
        </c:txPr>
        <c:crossAx val="105963904"/>
        <c:crosses val="autoZero"/>
        <c:auto val="1"/>
        <c:lblAlgn val="ctr"/>
        <c:lblOffset val="0"/>
        <c:noMultiLvlLbl val="0"/>
      </c:catAx>
      <c:valAx>
        <c:axId val="105963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5953920"/>
        <c:crosses val="autoZero"/>
        <c:crossBetween val="between"/>
      </c:valAx>
      <c:valAx>
        <c:axId val="105965440"/>
        <c:scaling>
          <c:orientation val="minMax"/>
          <c:max val="3500"/>
        </c:scaling>
        <c:delete val="1"/>
        <c:axPos val="r"/>
        <c:numFmt formatCode="_(&quot;$&quot;* #,##0_);_(&quot;$&quot;* \(#,##0\);_(&quot;$&quot;* &quot;-&quot;??_);_(@_)" sourceLinked="1"/>
        <c:majorTickMark val="out"/>
        <c:minorTickMark val="none"/>
        <c:tickLblPos val="none"/>
        <c:crossAx val="105966976"/>
        <c:crosses val="max"/>
        <c:crossBetween val="between"/>
      </c:valAx>
      <c:catAx>
        <c:axId val="105966976"/>
        <c:scaling>
          <c:orientation val="minMax"/>
        </c:scaling>
        <c:delete val="1"/>
        <c:axPos val="b"/>
        <c:majorTickMark val="out"/>
        <c:minorTickMark val="none"/>
        <c:tickLblPos val="none"/>
        <c:crossAx val="10596544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0.1261717653483316"/>
          <c:y val="0.10342119691712963"/>
          <c:w val="0.50711418692785415"/>
          <c:h val="0.16166500631349998"/>
        </c:manualLayout>
      </c:layout>
      <c:overlay val="0"/>
    </c:legend>
    <c:plotVisOnly val="1"/>
    <c:dispBlanksAs val="gap"/>
    <c:showDLblsOverMax val="0"/>
  </c:chart>
  <c:printSettings>
    <c:headerFooter>
      <c:oddFooter>&amp;C&amp;D</c:oddFooter>
    </c:headerFooter>
    <c:pageMargins b="0.75000000000000566" l="0.70000000000000062" r="0.70000000000000062" t="0.75000000000000566" header="0.30000000000000032" footer="0.3000000000000003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Least Cost Option, Estimated Average Annual</a:t>
            </a:r>
            <a:r>
              <a:rPr lang="en-US" sz="1600" baseline="0"/>
              <a:t> Costs</a:t>
            </a:r>
            <a:endParaRPr lang="en-U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5479363277115356E-2"/>
          <c:y val="0.11764818734692052"/>
          <c:w val="0.8794497002176096"/>
          <c:h val="0.696027505329622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'Pax Summary'!$B$63</c:f>
              <c:strCache>
                <c:ptCount val="1"/>
                <c:pt idx="0">
                  <c:v>Capital Cost (Debt Repayment/Lease)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strRef>
              <c:f>'Pax Summary'!$A$64:$A$89</c:f>
              <c:strCache>
                <c:ptCount val="26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  <c:pt idx="7">
                  <c:v>Year 7</c:v>
                </c:pt>
                <c:pt idx="8">
                  <c:v>Year 8</c:v>
                </c:pt>
                <c:pt idx="9">
                  <c:v>Year 9</c:v>
                </c:pt>
                <c:pt idx="10">
                  <c:v>Year 10</c:v>
                </c:pt>
                <c:pt idx="11">
                  <c:v>Year 11</c:v>
                </c:pt>
                <c:pt idx="12">
                  <c:v>Year 12</c:v>
                </c:pt>
                <c:pt idx="13">
                  <c:v>Year 13</c:v>
                </c:pt>
                <c:pt idx="14">
                  <c:v>Year 14</c:v>
                </c:pt>
                <c:pt idx="15">
                  <c:v>Year 15</c:v>
                </c:pt>
                <c:pt idx="16">
                  <c:v>Year 16</c:v>
                </c:pt>
                <c:pt idx="17">
                  <c:v>Year 17</c:v>
                </c:pt>
                <c:pt idx="18">
                  <c:v>Year 18</c:v>
                </c:pt>
                <c:pt idx="19">
                  <c:v>Year 19</c:v>
                </c:pt>
                <c:pt idx="20">
                  <c:v>Year 20</c:v>
                </c:pt>
                <c:pt idx="21">
                  <c:v>Year 21</c:v>
                </c:pt>
                <c:pt idx="22">
                  <c:v>Year 22</c:v>
                </c:pt>
                <c:pt idx="23">
                  <c:v>Year 23</c:v>
                </c:pt>
                <c:pt idx="24">
                  <c:v>Year 24</c:v>
                </c:pt>
                <c:pt idx="25">
                  <c:v>Year 25</c:v>
                </c:pt>
              </c:strCache>
            </c:strRef>
          </c:cat>
          <c:val>
            <c:numRef>
              <c:f>'Pax Summary'!$B$64:$B$89</c:f>
              <c:numCache>
                <c:formatCode>_("$"* #,##0_);_("$"* \(#,##0\);_("$"* "-"??_);_(@_)</c:formatCode>
                <c:ptCount val="26"/>
                <c:pt idx="0">
                  <c:v>179981.25</c:v>
                </c:pt>
                <c:pt idx="1">
                  <c:v>63703.760143973152</c:v>
                </c:pt>
                <c:pt idx="2">
                  <c:v>63703.760143973152</c:v>
                </c:pt>
                <c:pt idx="3">
                  <c:v>63703.760143973152</c:v>
                </c:pt>
                <c:pt idx="4">
                  <c:v>63703.760143973152</c:v>
                </c:pt>
                <c:pt idx="5">
                  <c:v>63703.760143973152</c:v>
                </c:pt>
                <c:pt idx="6">
                  <c:v>63703.760143973152</c:v>
                </c:pt>
                <c:pt idx="7">
                  <c:v>63703.760143973152</c:v>
                </c:pt>
                <c:pt idx="8">
                  <c:v>63703.760143973152</c:v>
                </c:pt>
                <c:pt idx="9">
                  <c:v>63703.760143973152</c:v>
                </c:pt>
                <c:pt idx="10">
                  <c:v>63703.760143973152</c:v>
                </c:pt>
                <c:pt idx="11">
                  <c:v>63703.760143973152</c:v>
                </c:pt>
                <c:pt idx="12">
                  <c:v>63703.760143973152</c:v>
                </c:pt>
                <c:pt idx="13">
                  <c:v>63703.760143973152</c:v>
                </c:pt>
                <c:pt idx="14">
                  <c:v>63703.760143973152</c:v>
                </c:pt>
                <c:pt idx="15">
                  <c:v>63703.760143973152</c:v>
                </c:pt>
                <c:pt idx="16">
                  <c:v>63703.760143973152</c:v>
                </c:pt>
                <c:pt idx="17">
                  <c:v>63703.760143973152</c:v>
                </c:pt>
                <c:pt idx="18">
                  <c:v>63703.760143973152</c:v>
                </c:pt>
                <c:pt idx="19">
                  <c:v>63703.760143973152</c:v>
                </c:pt>
                <c:pt idx="20">
                  <c:v>63703.760143973152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'Pax Summary'!$C$63</c:f>
              <c:strCache>
                <c:ptCount val="1"/>
                <c:pt idx="0">
                  <c:v>Operating Cost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'Pax Summary'!$A$64:$A$89</c:f>
              <c:strCache>
                <c:ptCount val="26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  <c:pt idx="7">
                  <c:v>Year 7</c:v>
                </c:pt>
                <c:pt idx="8">
                  <c:v>Year 8</c:v>
                </c:pt>
                <c:pt idx="9">
                  <c:v>Year 9</c:v>
                </c:pt>
                <c:pt idx="10">
                  <c:v>Year 10</c:v>
                </c:pt>
                <c:pt idx="11">
                  <c:v>Year 11</c:v>
                </c:pt>
                <c:pt idx="12">
                  <c:v>Year 12</c:v>
                </c:pt>
                <c:pt idx="13">
                  <c:v>Year 13</c:v>
                </c:pt>
                <c:pt idx="14">
                  <c:v>Year 14</c:v>
                </c:pt>
                <c:pt idx="15">
                  <c:v>Year 15</c:v>
                </c:pt>
                <c:pt idx="16">
                  <c:v>Year 16</c:v>
                </c:pt>
                <c:pt idx="17">
                  <c:v>Year 17</c:v>
                </c:pt>
                <c:pt idx="18">
                  <c:v>Year 18</c:v>
                </c:pt>
                <c:pt idx="19">
                  <c:v>Year 19</c:v>
                </c:pt>
                <c:pt idx="20">
                  <c:v>Year 20</c:v>
                </c:pt>
                <c:pt idx="21">
                  <c:v>Year 21</c:v>
                </c:pt>
                <c:pt idx="22">
                  <c:v>Year 22</c:v>
                </c:pt>
                <c:pt idx="23">
                  <c:v>Year 23</c:v>
                </c:pt>
                <c:pt idx="24">
                  <c:v>Year 24</c:v>
                </c:pt>
                <c:pt idx="25">
                  <c:v>Year 25</c:v>
                </c:pt>
              </c:strCache>
            </c:strRef>
          </c:cat>
          <c:val>
            <c:numRef>
              <c:f>'Pax Summary'!$C$64:$C$89</c:f>
              <c:numCache>
                <c:formatCode>_("$"* #,##0_);_("$"* \(#,##0\);_("$"* "-"??_);_(@_)</c:formatCode>
                <c:ptCount val="26"/>
                <c:pt idx="0">
                  <c:v>0</c:v>
                </c:pt>
                <c:pt idx="1">
                  <c:v>542000</c:v>
                </c:pt>
                <c:pt idx="2">
                  <c:v>563000</c:v>
                </c:pt>
                <c:pt idx="3">
                  <c:v>585000</c:v>
                </c:pt>
                <c:pt idx="4">
                  <c:v>608000</c:v>
                </c:pt>
                <c:pt idx="5">
                  <c:v>633000</c:v>
                </c:pt>
                <c:pt idx="6">
                  <c:v>660000</c:v>
                </c:pt>
                <c:pt idx="7">
                  <c:v>688000</c:v>
                </c:pt>
                <c:pt idx="8">
                  <c:v>719000</c:v>
                </c:pt>
                <c:pt idx="9">
                  <c:v>751000</c:v>
                </c:pt>
                <c:pt idx="10">
                  <c:v>786000</c:v>
                </c:pt>
                <c:pt idx="11">
                  <c:v>823000</c:v>
                </c:pt>
                <c:pt idx="12">
                  <c:v>864000</c:v>
                </c:pt>
                <c:pt idx="13">
                  <c:v>907000</c:v>
                </c:pt>
                <c:pt idx="14">
                  <c:v>954000</c:v>
                </c:pt>
                <c:pt idx="15">
                  <c:v>1004000</c:v>
                </c:pt>
                <c:pt idx="16">
                  <c:v>1058000</c:v>
                </c:pt>
                <c:pt idx="17">
                  <c:v>1117000</c:v>
                </c:pt>
                <c:pt idx="18">
                  <c:v>1180000</c:v>
                </c:pt>
                <c:pt idx="19">
                  <c:v>1249000</c:v>
                </c:pt>
                <c:pt idx="20">
                  <c:v>1323000</c:v>
                </c:pt>
                <c:pt idx="21">
                  <c:v>1404000</c:v>
                </c:pt>
                <c:pt idx="22">
                  <c:v>1491000</c:v>
                </c:pt>
                <c:pt idx="23">
                  <c:v>1586000</c:v>
                </c:pt>
                <c:pt idx="24">
                  <c:v>1690000</c:v>
                </c:pt>
                <c:pt idx="25">
                  <c:v>1802000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100"/>
        <c:axId val="106058112"/>
        <c:axId val="106059648"/>
      </c:barChart>
      <c:catAx>
        <c:axId val="106058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59648"/>
        <c:crosses val="autoZero"/>
        <c:auto val="1"/>
        <c:lblAlgn val="ctr"/>
        <c:lblOffset val="100"/>
        <c:noMultiLvlLbl val="0"/>
      </c:catAx>
      <c:valAx>
        <c:axId val="10605964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6058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91560533568918"/>
          <c:y val="0.12537098069127256"/>
          <c:w val="0.23019144578530634"/>
          <c:h val="0.123086892100593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Capital Costs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03991988136588"/>
          <c:y val="0.10960740929272038"/>
          <c:w val="0.87937674698980661"/>
          <c:h val="0.8569194115744879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'RORO Capital'!$A$10</c:f>
              <c:strCache>
                <c:ptCount val="1"/>
                <c:pt idx="0">
                  <c:v>Start-up cost (Year 0)</c:v>
                </c:pt>
              </c:strCache>
            </c:strRef>
          </c:tx>
          <c:invertIfNegative val="0"/>
          <c:cat>
            <c:strRef>
              <c:f>'RORO Capital'!$C$1:$F$1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Capital'!$C$10:$F$10</c:f>
              <c:numCache>
                <c:formatCode>_("$"* #,##0_);_("$"* \(#,##0\);_("$"* "-"??_);_(@_)</c:formatCode>
                <c:ptCount val="4"/>
                <c:pt idx="0">
                  <c:v>-21060</c:v>
                </c:pt>
                <c:pt idx="1">
                  <c:v>-21060</c:v>
                </c:pt>
                <c:pt idx="2">
                  <c:v>-21060</c:v>
                </c:pt>
                <c:pt idx="3">
                  <c:v>-21060</c:v>
                </c:pt>
              </c:numCache>
            </c:numRef>
          </c:val>
        </c:ser>
        <c:ser>
          <c:idx val="0"/>
          <c:order val="1"/>
          <c:tx>
            <c:strRef>
              <c:f>'RORO Capital'!$A$11</c:f>
              <c:strCache>
                <c:ptCount val="1"/>
                <c:pt idx="0">
                  <c:v>Debt Allocated to this service/route (Year 0)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'RORO Capital'!$C$1:$F$1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Capital'!$C$11:$F$11</c:f>
              <c:numCache>
                <c:formatCode>_("$"* #,##0_);_("$"* \(#,##0\);_("$"* "-"??_);_(@_)</c:formatCode>
                <c:ptCount val="4"/>
                <c:pt idx="0">
                  <c:v>-3547223.2653061226</c:v>
                </c:pt>
                <c:pt idx="1">
                  <c:v>-3887680.4081632653</c:v>
                </c:pt>
                <c:pt idx="2">
                  <c:v>-8971570.2040816341</c:v>
                </c:pt>
                <c:pt idx="3">
                  <c:v>-17476243.673469387</c:v>
                </c:pt>
              </c:numCache>
            </c:numRef>
          </c:val>
        </c:ser>
        <c:ser>
          <c:idx val="1"/>
          <c:order val="2"/>
          <c:tx>
            <c:strRef>
              <c:f>'RORO Capital'!$A$9:$B$9</c:f>
              <c:strCache>
                <c:ptCount val="1"/>
                <c:pt idx="0">
                  <c:v>Equity Investment </c:v>
                </c:pt>
              </c:strCache>
            </c:strRef>
          </c:tx>
          <c:invertIfNegative val="0"/>
          <c:cat>
            <c:strRef>
              <c:f>'RORO Capital'!$C$1:$F$1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Capital'!$C$9:$F$9</c:f>
              <c:numCache>
                <c:formatCode>_("$"* #,##0_);_("$"* \(#,##0\);_("$"* "-"??_);_(@_)</c:formatCode>
                <c:ptCount val="4"/>
                <c:pt idx="0">
                  <c:v>881540.81632653065</c:v>
                </c:pt>
                <c:pt idx="1">
                  <c:v>966655.10204081633</c:v>
                </c:pt>
                <c:pt idx="2">
                  <c:v>2237627.5510204085</c:v>
                </c:pt>
                <c:pt idx="3">
                  <c:v>4363795.9183673477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5835904"/>
        <c:axId val="105837696"/>
      </c:barChart>
      <c:catAx>
        <c:axId val="105835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837696"/>
        <c:crosses val="autoZero"/>
        <c:auto val="1"/>
        <c:lblAlgn val="ctr"/>
        <c:lblOffset val="100"/>
        <c:noMultiLvlLbl val="0"/>
      </c:catAx>
      <c:valAx>
        <c:axId val="10583769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05835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777713480269735"/>
          <c:y val="0.74179580680767498"/>
          <c:w val="0.63831800729286581"/>
          <c:h val="0.2144741614064266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Annual Operating Costs</a:t>
            </a:r>
          </a:p>
        </c:rich>
      </c:tx>
      <c:layout>
        <c:manualLayout>
          <c:xMode val="edge"/>
          <c:yMode val="edge"/>
          <c:x val="0.40484748807666232"/>
          <c:y val="2.18253758372508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19548471075252E-2"/>
          <c:y val="0.11999342046805719"/>
          <c:w val="0.88977530247743464"/>
          <c:h val="0.604656341103245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'RORO Oper Maint'!$A$4</c:f>
              <c:strCache>
                <c:ptCount val="1"/>
                <c:pt idx="0">
                  <c:v>Annual On-board Labor Cost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Maint'!$C$4:$F$4</c:f>
              <c:numCache>
                <c:formatCode>_("$"* #,##0_);_("$"* \(#,##0\);_("$"* "-"??_);_(@_)</c:formatCode>
                <c:ptCount val="4"/>
                <c:pt idx="0">
                  <c:v>206785.23749999999</c:v>
                </c:pt>
                <c:pt idx="1">
                  <c:v>166370.64375000002</c:v>
                </c:pt>
                <c:pt idx="2">
                  <c:v>195832.35</c:v>
                </c:pt>
                <c:pt idx="3">
                  <c:v>182655.07500000001</c:v>
                </c:pt>
              </c:numCache>
            </c:numRef>
          </c:val>
        </c:ser>
        <c:ser>
          <c:idx val="1"/>
          <c:order val="1"/>
          <c:tx>
            <c:strRef>
              <c:f>'RORO Oper Maint'!$A$5</c:f>
              <c:strCache>
                <c:ptCount val="1"/>
                <c:pt idx="0">
                  <c:v>Annual Fuel + Lubricant Cost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Maint'!$C$5:$F$5</c:f>
              <c:numCache>
                <c:formatCode>_("$"* #,##0_);_("$"* \(#,##0\);_("$"* "-"??_);_(@_)</c:formatCode>
                <c:ptCount val="4"/>
                <c:pt idx="0">
                  <c:v>114044.51647542858</c:v>
                </c:pt>
                <c:pt idx="1">
                  <c:v>191085.56728258068</c:v>
                </c:pt>
                <c:pt idx="2">
                  <c:v>254576.24281347104</c:v>
                </c:pt>
                <c:pt idx="3">
                  <c:v>1078333.8579438361</c:v>
                </c:pt>
              </c:numCache>
            </c:numRef>
          </c:val>
        </c:ser>
        <c:ser>
          <c:idx val="2"/>
          <c:order val="2"/>
          <c:tx>
            <c:strRef>
              <c:f>'RORO Oper Maint'!$A$6</c:f>
              <c:strCache>
                <c:ptCount val="1"/>
                <c:pt idx="0">
                  <c:v>Annual Maintenance Cost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Maint'!$C$6:$F$6</c:f>
              <c:numCache>
                <c:formatCode>_("$"* #,##0_);_("$"* \(#,##0\);_("$"* "-"??_);_(@_)</c:formatCode>
                <c:ptCount val="4"/>
                <c:pt idx="0">
                  <c:v>106446.10283742858</c:v>
                </c:pt>
                <c:pt idx="1">
                  <c:v>116723.62917042858</c:v>
                </c:pt>
                <c:pt idx="2">
                  <c:v>270193.55238471425</c:v>
                </c:pt>
                <c:pt idx="3">
                  <c:v>526928.3754968571</c:v>
                </c:pt>
              </c:numCache>
            </c:numRef>
          </c:val>
        </c:ser>
        <c:ser>
          <c:idx val="3"/>
          <c:order val="3"/>
          <c:tx>
            <c:strRef>
              <c:f>'RORO Oper Maint'!$A$7</c:f>
              <c:strCache>
                <c:ptCount val="1"/>
                <c:pt idx="0">
                  <c:v>Hull and P&amp;I Insurance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Maint'!$C$7:$F$7</c:f>
              <c:numCache>
                <c:formatCode>_("$"* #,##0_);_("$"* \(#,##0\);_("$"* "-"??_);_(@_)</c:formatCode>
                <c:ptCount val="4"/>
                <c:pt idx="0">
                  <c:v>137294.08163265305</c:v>
                </c:pt>
                <c:pt idx="1">
                  <c:v>145805.51020408163</c:v>
                </c:pt>
                <c:pt idx="2">
                  <c:v>272902.75510204083</c:v>
                </c:pt>
                <c:pt idx="3">
                  <c:v>485519.59183673467</c:v>
                </c:pt>
              </c:numCache>
            </c:numRef>
          </c:val>
        </c:ser>
        <c:ser>
          <c:idx val="4"/>
          <c:order val="4"/>
          <c:tx>
            <c:strRef>
              <c:f>'RORO Oper Maint'!$A$8</c:f>
              <c:strCache>
                <c:ptCount val="1"/>
                <c:pt idx="0">
                  <c:v>Marketing, Advertising, Management, Overhead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Maint'!$C$8:$F$8</c:f>
              <c:numCache>
                <c:formatCode>_("$"* #,##0_);_("$"* \(#,##0\);_("$"* "-"??_);_(@_)</c:formatCode>
                <c:ptCount val="4"/>
                <c:pt idx="0">
                  <c:v>154240</c:v>
                </c:pt>
                <c:pt idx="1">
                  <c:v>154240</c:v>
                </c:pt>
                <c:pt idx="2">
                  <c:v>154240</c:v>
                </c:pt>
                <c:pt idx="3">
                  <c:v>154240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8573440"/>
        <c:axId val="108574976"/>
      </c:barChart>
      <c:catAx>
        <c:axId val="108573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574976"/>
        <c:crosses val="autoZero"/>
        <c:auto val="1"/>
        <c:lblAlgn val="ctr"/>
        <c:lblOffset val="100"/>
        <c:noMultiLvlLbl val="0"/>
      </c:catAx>
      <c:valAx>
        <c:axId val="10857497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10857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717669401950869E-2"/>
          <c:y val="0.84918587879218121"/>
          <c:w val="0.8971436764432833"/>
          <c:h val="0.1508141212078229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'RORO Oper Maint'!$A$4</c:f>
              <c:strCache>
                <c:ptCount val="1"/>
                <c:pt idx="0">
                  <c:v>Annual On-board Labor Cost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Maint'!$C$4:$F$4</c:f>
              <c:numCache>
                <c:formatCode>_("$"* #,##0_);_("$"* \(#,##0\);_("$"* "-"??_);_(@_)</c:formatCode>
                <c:ptCount val="4"/>
                <c:pt idx="0">
                  <c:v>206785.23749999999</c:v>
                </c:pt>
                <c:pt idx="1">
                  <c:v>166370.64375000002</c:v>
                </c:pt>
                <c:pt idx="2">
                  <c:v>195832.35</c:v>
                </c:pt>
                <c:pt idx="3">
                  <c:v>182655.07500000001</c:v>
                </c:pt>
              </c:numCache>
            </c:numRef>
          </c:val>
        </c:ser>
        <c:ser>
          <c:idx val="1"/>
          <c:order val="1"/>
          <c:tx>
            <c:strRef>
              <c:f>'RORO Oper Maint'!$A$5</c:f>
              <c:strCache>
                <c:ptCount val="1"/>
                <c:pt idx="0">
                  <c:v>Annual Fuel + Lubricant Cost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Maint'!$C$5:$F$5</c:f>
              <c:numCache>
                <c:formatCode>_("$"* #,##0_);_("$"* \(#,##0\);_("$"* "-"??_);_(@_)</c:formatCode>
                <c:ptCount val="4"/>
                <c:pt idx="0">
                  <c:v>114044.51647542858</c:v>
                </c:pt>
                <c:pt idx="1">
                  <c:v>191085.56728258068</c:v>
                </c:pt>
                <c:pt idx="2">
                  <c:v>254576.24281347104</c:v>
                </c:pt>
                <c:pt idx="3">
                  <c:v>1078333.8579438361</c:v>
                </c:pt>
              </c:numCache>
            </c:numRef>
          </c:val>
        </c:ser>
        <c:ser>
          <c:idx val="2"/>
          <c:order val="2"/>
          <c:tx>
            <c:strRef>
              <c:f>'RORO Oper Maint'!$A$6</c:f>
              <c:strCache>
                <c:ptCount val="1"/>
                <c:pt idx="0">
                  <c:v>Annual Maintenance Cost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Maint'!$C$6:$F$6</c:f>
              <c:numCache>
                <c:formatCode>_("$"* #,##0_);_("$"* \(#,##0\);_("$"* "-"??_);_(@_)</c:formatCode>
                <c:ptCount val="4"/>
                <c:pt idx="0">
                  <c:v>106446.10283742858</c:v>
                </c:pt>
                <c:pt idx="1">
                  <c:v>116723.62917042858</c:v>
                </c:pt>
                <c:pt idx="2">
                  <c:v>270193.55238471425</c:v>
                </c:pt>
                <c:pt idx="3">
                  <c:v>526928.3754968571</c:v>
                </c:pt>
              </c:numCache>
            </c:numRef>
          </c:val>
        </c:ser>
        <c:ser>
          <c:idx val="3"/>
          <c:order val="3"/>
          <c:tx>
            <c:strRef>
              <c:f>'RORO Oper Maint'!$A$7</c:f>
              <c:strCache>
                <c:ptCount val="1"/>
                <c:pt idx="0">
                  <c:v>Hull and P&amp;I Insurance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Maint'!$C$7:$F$7</c:f>
              <c:numCache>
                <c:formatCode>_("$"* #,##0_);_("$"* \(#,##0\);_("$"* "-"??_);_(@_)</c:formatCode>
                <c:ptCount val="4"/>
                <c:pt idx="0">
                  <c:v>137294.08163265305</c:v>
                </c:pt>
                <c:pt idx="1">
                  <c:v>145805.51020408163</c:v>
                </c:pt>
                <c:pt idx="2">
                  <c:v>272902.75510204083</c:v>
                </c:pt>
                <c:pt idx="3">
                  <c:v>485519.59183673467</c:v>
                </c:pt>
              </c:numCache>
            </c:numRef>
          </c:val>
        </c:ser>
        <c:ser>
          <c:idx val="4"/>
          <c:order val="4"/>
          <c:tx>
            <c:strRef>
              <c:f>'RORO Oper Maint'!$A$8</c:f>
              <c:strCache>
                <c:ptCount val="1"/>
                <c:pt idx="0">
                  <c:v>Marketing, Advertising, Management, Overhead</c:v>
                </c:pt>
              </c:strCache>
            </c:strRef>
          </c:tx>
          <c:invertIfNegative val="0"/>
          <c:cat>
            <c:strRef>
              <c:f>'RORO Oper Maint'!$C$2:$F$2</c:f>
              <c:strCache>
                <c:ptCount val="4"/>
                <c:pt idx="0">
                  <c:v>RORO &lt;100 Pax, &lt;10 Veh</c:v>
                </c:pt>
                <c:pt idx="1">
                  <c:v>RORO &lt;500 Pax, &lt;10 Veh</c:v>
                </c:pt>
                <c:pt idx="2">
                  <c:v>RORO &lt;500 Pax, &lt;50 Veh</c:v>
                </c:pt>
                <c:pt idx="3">
                  <c:v>RORO 250-500 Pax, 45-100 Veh</c:v>
                </c:pt>
              </c:strCache>
            </c:strRef>
          </c:cat>
          <c:val>
            <c:numRef>
              <c:f>'RORO Oper Maint'!$C$8:$F$8</c:f>
              <c:numCache>
                <c:formatCode>_("$"* #,##0_);_("$"* \(#,##0\);_("$"* "-"??_);_(@_)</c:formatCode>
                <c:ptCount val="4"/>
                <c:pt idx="0">
                  <c:v>154240</c:v>
                </c:pt>
                <c:pt idx="1">
                  <c:v>154240</c:v>
                </c:pt>
                <c:pt idx="2">
                  <c:v>154240</c:v>
                </c:pt>
                <c:pt idx="3">
                  <c:v>154240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8625920"/>
        <c:axId val="108627456"/>
      </c:barChart>
      <c:catAx>
        <c:axId val="108625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627456"/>
        <c:crosses val="autoZero"/>
        <c:auto val="1"/>
        <c:lblAlgn val="ctr"/>
        <c:lblOffset val="100"/>
        <c:noMultiLvlLbl val="0"/>
      </c:catAx>
      <c:valAx>
        <c:axId val="1086274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crossAx val="108625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126377</xdr:colOff>
      <xdr:row>42</xdr:row>
      <xdr:rowOff>97740</xdr:rowOff>
    </xdr:from>
    <xdr:to>
      <xdr:col>8</xdr:col>
      <xdr:colOff>645583</xdr:colOff>
      <xdr:row>54</xdr:row>
      <xdr:rowOff>52917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1407584</xdr:colOff>
      <xdr:row>128</xdr:row>
      <xdr:rowOff>338667</xdr:rowOff>
    </xdr:from>
    <xdr:to>
      <xdr:col>20</xdr:col>
      <xdr:colOff>41275</xdr:colOff>
      <xdr:row>147</xdr:row>
      <xdr:rowOff>59266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160</xdr:row>
      <xdr:rowOff>0</xdr:rowOff>
    </xdr:from>
    <xdr:to>
      <xdr:col>9</xdr:col>
      <xdr:colOff>699557</xdr:colOff>
      <xdr:row>176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12327</xdr:colOff>
      <xdr:row>0</xdr:row>
      <xdr:rowOff>54162</xdr:rowOff>
    </xdr:from>
    <xdr:to>
      <xdr:col>5</xdr:col>
      <xdr:colOff>78440</xdr:colOff>
      <xdr:row>14</xdr:row>
      <xdr:rowOff>44824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123265</xdr:colOff>
      <xdr:row>0</xdr:row>
      <xdr:rowOff>56029</xdr:rowOff>
    </xdr:from>
    <xdr:to>
      <xdr:col>9</xdr:col>
      <xdr:colOff>918883</xdr:colOff>
      <xdr:row>14</xdr:row>
      <xdr:rowOff>56029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89648</xdr:colOff>
      <xdr:row>16</xdr:row>
      <xdr:rowOff>156883</xdr:rowOff>
    </xdr:from>
    <xdr:to>
      <xdr:col>9</xdr:col>
      <xdr:colOff>937373</xdr:colOff>
      <xdr:row>29</xdr:row>
      <xdr:rowOff>44824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70</xdr:row>
      <xdr:rowOff>0</xdr:rowOff>
    </xdr:from>
    <xdr:to>
      <xdr:col>6</xdr:col>
      <xdr:colOff>900642</xdr:colOff>
      <xdr:row>82</xdr:row>
      <xdr:rowOff>100850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231</xdr:row>
      <xdr:rowOff>0</xdr:rowOff>
    </xdr:from>
    <xdr:to>
      <xdr:col>8</xdr:col>
      <xdr:colOff>154518</xdr:colOff>
      <xdr:row>256</xdr:row>
      <xdr:rowOff>21167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21166</xdr:colOff>
      <xdr:row>234</xdr:row>
      <xdr:rowOff>42333</xdr:rowOff>
    </xdr:from>
    <xdr:to>
      <xdr:col>18</xdr:col>
      <xdr:colOff>667809</xdr:colOff>
      <xdr:row>255</xdr:row>
      <xdr:rowOff>95249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170129</xdr:colOff>
      <xdr:row>0</xdr:row>
      <xdr:rowOff>67235</xdr:rowOff>
    </xdr:from>
    <xdr:to>
      <xdr:col>4</xdr:col>
      <xdr:colOff>470647</xdr:colOff>
      <xdr:row>13</xdr:row>
      <xdr:rowOff>56030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694764</xdr:colOff>
      <xdr:row>0</xdr:row>
      <xdr:rowOff>78441</xdr:rowOff>
    </xdr:from>
    <xdr:to>
      <xdr:col>9</xdr:col>
      <xdr:colOff>1232648</xdr:colOff>
      <xdr:row>13</xdr:row>
      <xdr:rowOff>67236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112059</xdr:colOff>
      <xdr:row>15</xdr:row>
      <xdr:rowOff>168089</xdr:rowOff>
    </xdr:from>
    <xdr:to>
      <xdr:col>9</xdr:col>
      <xdr:colOff>1255059</xdr:colOff>
      <xdr:row>32</xdr:row>
      <xdr:rowOff>123265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Normal="100" zoomScalePageLayoutView="70" workbookViewId="0"/>
  </sheetViews>
  <sheetFormatPr defaultRowHeight="15" x14ac:dyDescent="0.25"/>
  <cols>
    <col min="1" max="1" width="48.85546875" style="383" customWidth="1"/>
    <col min="2" max="2" width="12.85546875" style="383" customWidth="1"/>
    <col min="3" max="3" width="3.42578125" style="383" customWidth="1"/>
    <col min="4" max="4" width="41.7109375" style="383" customWidth="1"/>
    <col min="5" max="5" width="14.42578125" style="383" bestFit="1" customWidth="1"/>
    <col min="6" max="6" width="10.85546875" style="383" hidden="1" customWidth="1"/>
    <col min="7" max="18" width="0" style="383" hidden="1" customWidth="1"/>
    <col min="19" max="16384" width="9.140625" style="383"/>
  </cols>
  <sheetData>
    <row r="1" spans="1:5" x14ac:dyDescent="0.25">
      <c r="A1" s="377" t="s">
        <v>216</v>
      </c>
      <c r="B1" s="385"/>
      <c r="C1" s="385"/>
      <c r="D1" s="386" t="s">
        <v>217</v>
      </c>
      <c r="E1" s="385"/>
    </row>
    <row r="2" spans="1:5" ht="30" x14ac:dyDescent="0.25">
      <c r="A2" s="378" t="s">
        <v>200</v>
      </c>
      <c r="B2" s="364" t="s">
        <v>201</v>
      </c>
      <c r="C2" s="387"/>
      <c r="D2" s="379" t="s">
        <v>24</v>
      </c>
      <c r="E2" s="365">
        <v>0.8</v>
      </c>
    </row>
    <row r="3" spans="1:5" ht="30" x14ac:dyDescent="0.25">
      <c r="A3" s="379" t="s">
        <v>180</v>
      </c>
      <c r="B3" s="366">
        <v>6</v>
      </c>
      <c r="C3" s="387"/>
      <c r="D3" s="388" t="s">
        <v>23</v>
      </c>
      <c r="E3" s="367">
        <v>5</v>
      </c>
    </row>
    <row r="4" spans="1:5" x14ac:dyDescent="0.25">
      <c r="A4" s="379" t="s">
        <v>5</v>
      </c>
      <c r="B4" s="366">
        <v>3</v>
      </c>
      <c r="C4" s="387"/>
      <c r="D4" s="387" t="s">
        <v>207</v>
      </c>
      <c r="E4" s="368">
        <v>0.15</v>
      </c>
    </row>
    <row r="5" spans="1:5" x14ac:dyDescent="0.25">
      <c r="A5" s="379" t="s">
        <v>6</v>
      </c>
      <c r="B5" s="366" t="s">
        <v>0</v>
      </c>
      <c r="C5" s="387"/>
      <c r="D5" s="387" t="s">
        <v>208</v>
      </c>
      <c r="E5" s="367">
        <v>1.25</v>
      </c>
    </row>
    <row r="6" spans="1:5" x14ac:dyDescent="0.25">
      <c r="A6" s="379" t="s">
        <v>7</v>
      </c>
      <c r="B6" s="366"/>
      <c r="C6" s="387"/>
      <c r="D6" s="387" t="s">
        <v>32</v>
      </c>
      <c r="E6" s="369">
        <v>21.23</v>
      </c>
    </row>
    <row r="7" spans="1:5" x14ac:dyDescent="0.25">
      <c r="A7" s="380" t="s">
        <v>104</v>
      </c>
      <c r="B7" s="363"/>
      <c r="C7" s="387"/>
      <c r="D7" s="387" t="s">
        <v>33</v>
      </c>
      <c r="E7" s="369">
        <v>12.89</v>
      </c>
    </row>
    <row r="8" spans="1:5" x14ac:dyDescent="0.25">
      <c r="A8" s="381" t="s">
        <v>106</v>
      </c>
      <c r="B8" s="370">
        <v>90</v>
      </c>
      <c r="C8" s="389"/>
      <c r="D8" s="389" t="s">
        <v>35</v>
      </c>
      <c r="E8" s="369">
        <v>2.95</v>
      </c>
    </row>
    <row r="9" spans="1:5" ht="30" x14ac:dyDescent="0.25">
      <c r="A9" s="379" t="s">
        <v>115</v>
      </c>
      <c r="B9" s="366">
        <v>300</v>
      </c>
      <c r="C9" s="389"/>
      <c r="D9" s="388" t="s">
        <v>150</v>
      </c>
      <c r="E9" s="371">
        <v>0.1</v>
      </c>
    </row>
    <row r="10" spans="1:5" x14ac:dyDescent="0.25">
      <c r="A10" s="381" t="s">
        <v>105</v>
      </c>
      <c r="B10" s="370">
        <v>1400</v>
      </c>
      <c r="C10" s="387"/>
      <c r="D10" s="389" t="s">
        <v>36</v>
      </c>
      <c r="E10" s="369">
        <v>8</v>
      </c>
    </row>
    <row r="11" spans="1:5" ht="30" x14ac:dyDescent="0.25">
      <c r="A11" s="381" t="s">
        <v>109</v>
      </c>
      <c r="B11" s="370">
        <v>10</v>
      </c>
      <c r="C11" s="387"/>
      <c r="D11" s="388" t="s">
        <v>40</v>
      </c>
      <c r="E11" s="372">
        <v>2.3E-2</v>
      </c>
    </row>
    <row r="12" spans="1:5" x14ac:dyDescent="0.25">
      <c r="A12" s="382" t="s">
        <v>107</v>
      </c>
      <c r="B12" s="363"/>
      <c r="C12" s="387"/>
      <c r="D12" s="389" t="s">
        <v>41</v>
      </c>
      <c r="E12" s="373">
        <v>0.02</v>
      </c>
    </row>
    <row r="13" spans="1:5" x14ac:dyDescent="0.25">
      <c r="A13" s="381" t="s">
        <v>110</v>
      </c>
      <c r="B13" s="370">
        <v>24</v>
      </c>
      <c r="C13" s="387"/>
      <c r="D13" s="389" t="s">
        <v>170</v>
      </c>
      <c r="E13" s="374">
        <v>20</v>
      </c>
    </row>
    <row r="14" spans="1:5" ht="30" x14ac:dyDescent="0.25">
      <c r="A14" s="379" t="s">
        <v>115</v>
      </c>
      <c r="B14" s="366">
        <v>100</v>
      </c>
      <c r="C14" s="387"/>
      <c r="D14" s="388" t="s">
        <v>215</v>
      </c>
      <c r="E14" s="371">
        <v>0.06</v>
      </c>
    </row>
    <row r="15" spans="1:5" x14ac:dyDescent="0.25">
      <c r="A15" s="381" t="s">
        <v>105</v>
      </c>
      <c r="B15" s="370">
        <v>600</v>
      </c>
      <c r="C15" s="387"/>
      <c r="D15" s="390" t="s">
        <v>196</v>
      </c>
      <c r="E15" s="369">
        <v>0.6</v>
      </c>
    </row>
    <row r="16" spans="1:5" ht="30" x14ac:dyDescent="0.25">
      <c r="A16" s="381" t="s">
        <v>111</v>
      </c>
      <c r="B16" s="370">
        <v>10</v>
      </c>
      <c r="C16" s="385"/>
      <c r="D16" s="387" t="s">
        <v>25</v>
      </c>
      <c r="E16" s="366" t="s">
        <v>1</v>
      </c>
    </row>
    <row r="17" spans="1:17" ht="30" x14ac:dyDescent="0.25">
      <c r="A17" s="381" t="s">
        <v>129</v>
      </c>
      <c r="B17" s="370" t="s">
        <v>1</v>
      </c>
      <c r="D17" s="388" t="s">
        <v>103</v>
      </c>
      <c r="E17" s="375">
        <v>0.2</v>
      </c>
    </row>
    <row r="18" spans="1:17" ht="28.5" customHeight="1" x14ac:dyDescent="0.25">
      <c r="A18" s="382" t="s">
        <v>108</v>
      </c>
      <c r="B18" s="363"/>
      <c r="D18" s="390" t="s">
        <v>194</v>
      </c>
      <c r="E18" s="376" t="s">
        <v>134</v>
      </c>
    </row>
    <row r="19" spans="1:17" x14ac:dyDescent="0.25">
      <c r="A19" s="379" t="s">
        <v>112</v>
      </c>
      <c r="B19" s="366" t="s">
        <v>0</v>
      </c>
      <c r="E19" s="363"/>
    </row>
    <row r="20" spans="1:17" ht="30" x14ac:dyDescent="0.25">
      <c r="A20" s="379" t="s">
        <v>113</v>
      </c>
      <c r="B20" s="366">
        <v>180</v>
      </c>
    </row>
    <row r="22" spans="1:17" x14ac:dyDescent="0.25">
      <c r="D22" s="391"/>
      <c r="E22" s="391"/>
      <c r="F22" s="391"/>
      <c r="G22" s="391"/>
    </row>
    <row r="23" spans="1:17" ht="15" customHeight="1" x14ac:dyDescent="0.25">
      <c r="A23" s="384" t="s">
        <v>37</v>
      </c>
      <c r="B23" s="392">
        <f>'User Inputs'!B10*'User Inputs'!B8+'User Inputs'!B15*'User Inputs'!B13</f>
        <v>140400</v>
      </c>
      <c r="D23" s="384" t="s">
        <v>153</v>
      </c>
      <c r="E23" s="384">
        <f>IF(E18=O30,0,IF(E18=O31,2.5,IF(E18=O32,7.5,IF(E18=O33,15,IF(E18=O34,25,IF(E18=O35,35,"error"))))))</f>
        <v>7.5</v>
      </c>
    </row>
    <row r="24" spans="1:17" ht="15" customHeight="1" x14ac:dyDescent="0.25">
      <c r="A24" s="384" t="s">
        <v>114</v>
      </c>
      <c r="B24" s="392">
        <f>'User Inputs'!B8*'User Inputs'!B11+'User Inputs'!B13*'User Inputs'!B16</f>
        <v>1140</v>
      </c>
      <c r="D24" s="384" t="s">
        <v>291</v>
      </c>
      <c r="E24" s="393">
        <f>1-E23*0.023</f>
        <v>0.82750000000000001</v>
      </c>
    </row>
    <row r="25" spans="1:17" x14ac:dyDescent="0.25">
      <c r="D25" s="391"/>
      <c r="E25" s="391"/>
      <c r="F25" s="391"/>
      <c r="G25" s="391"/>
    </row>
    <row r="29" spans="1:17" x14ac:dyDescent="0.25">
      <c r="F29" s="401" t="s">
        <v>292</v>
      </c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</row>
    <row r="30" spans="1:17" x14ac:dyDescent="0.25">
      <c r="F30" s="394" t="s">
        <v>201</v>
      </c>
      <c r="G30" s="394">
        <v>0.7</v>
      </c>
      <c r="H30" s="394">
        <v>2</v>
      </c>
      <c r="I30" s="395">
        <v>0.15</v>
      </c>
      <c r="J30" s="394">
        <v>1.2</v>
      </c>
      <c r="K30" s="395">
        <v>0.02</v>
      </c>
      <c r="L30" s="396">
        <v>1.4999999999999999E-2</v>
      </c>
      <c r="M30" s="395">
        <v>0.06</v>
      </c>
      <c r="N30" s="397">
        <v>0.4</v>
      </c>
      <c r="O30" s="394" t="s">
        <v>132</v>
      </c>
      <c r="P30" s="396">
        <v>3.0000000000000001E-3</v>
      </c>
      <c r="Q30" s="394">
        <v>10</v>
      </c>
    </row>
    <row r="31" spans="1:17" x14ac:dyDescent="0.25">
      <c r="F31" s="394" t="s">
        <v>202</v>
      </c>
      <c r="G31" s="394">
        <v>0.75</v>
      </c>
      <c r="H31" s="394">
        <v>5</v>
      </c>
      <c r="I31" s="395">
        <v>0.2</v>
      </c>
      <c r="J31" s="394">
        <v>1.25</v>
      </c>
      <c r="K31" s="395">
        <v>0.04</v>
      </c>
      <c r="L31" s="396">
        <v>0.02</v>
      </c>
      <c r="M31" s="395">
        <v>7.0000000000000007E-2</v>
      </c>
      <c r="N31" s="397">
        <v>0.5</v>
      </c>
      <c r="O31" s="394" t="s">
        <v>133</v>
      </c>
      <c r="P31" s="396">
        <v>5.0000000000000001E-3</v>
      </c>
      <c r="Q31" s="394">
        <v>15</v>
      </c>
    </row>
    <row r="32" spans="1:17" x14ac:dyDescent="0.25">
      <c r="F32" s="394"/>
      <c r="G32" s="394">
        <v>0.8</v>
      </c>
      <c r="H32" s="394">
        <v>10</v>
      </c>
      <c r="I32" s="395">
        <v>0.3</v>
      </c>
      <c r="J32" s="394">
        <v>1.3</v>
      </c>
      <c r="K32" s="395">
        <v>0.06</v>
      </c>
      <c r="L32" s="396">
        <v>2.5000000000000001E-2</v>
      </c>
      <c r="M32" s="395">
        <v>0.08</v>
      </c>
      <c r="N32" s="397">
        <v>0.6</v>
      </c>
      <c r="O32" s="394" t="s">
        <v>134</v>
      </c>
      <c r="P32" s="396">
        <v>0.01</v>
      </c>
      <c r="Q32" s="394">
        <v>20</v>
      </c>
    </row>
    <row r="33" spans="6:17" x14ac:dyDescent="0.25">
      <c r="F33" s="394"/>
      <c r="G33" s="394"/>
      <c r="H33" s="394"/>
      <c r="I33" s="395">
        <v>0.4</v>
      </c>
      <c r="J33" s="394"/>
      <c r="K33" s="395">
        <v>0.08</v>
      </c>
      <c r="L33" s="396">
        <v>0.03</v>
      </c>
      <c r="M33" s="395">
        <v>0.09</v>
      </c>
      <c r="N33" s="397">
        <v>0.75</v>
      </c>
      <c r="O33" s="394" t="s">
        <v>135</v>
      </c>
      <c r="P33" s="396">
        <v>1.4999999999999999E-2</v>
      </c>
      <c r="Q33" s="394">
        <v>25</v>
      </c>
    </row>
    <row r="34" spans="6:17" x14ac:dyDescent="0.25">
      <c r="F34" s="394"/>
      <c r="G34" s="394"/>
      <c r="H34" s="394"/>
      <c r="I34" s="394"/>
      <c r="J34" s="394"/>
      <c r="K34" s="395">
        <v>0.1</v>
      </c>
      <c r="L34" s="396">
        <v>3.5000000000000003E-2</v>
      </c>
      <c r="M34" s="395">
        <v>0.1</v>
      </c>
      <c r="N34" s="397">
        <v>1</v>
      </c>
      <c r="O34" s="394" t="s">
        <v>136</v>
      </c>
      <c r="P34" s="398"/>
      <c r="Q34" s="394"/>
    </row>
    <row r="35" spans="6:17" x14ac:dyDescent="0.25">
      <c r="F35" s="394"/>
      <c r="G35" s="394"/>
      <c r="H35" s="394"/>
      <c r="I35" s="394"/>
      <c r="J35" s="394"/>
      <c r="K35" s="395">
        <v>0.12</v>
      </c>
      <c r="L35" s="394"/>
      <c r="M35" s="394"/>
      <c r="N35" s="394"/>
      <c r="O35" s="394" t="s">
        <v>137</v>
      </c>
      <c r="P35" s="394"/>
      <c r="Q35" s="394"/>
    </row>
    <row r="36" spans="6:17" x14ac:dyDescent="0.25">
      <c r="F36" s="394"/>
      <c r="G36" s="394"/>
      <c r="H36" s="394"/>
      <c r="I36" s="394"/>
      <c r="J36" s="394"/>
      <c r="K36" s="395">
        <v>0.14000000000000001</v>
      </c>
      <c r="L36" s="394"/>
      <c r="M36" s="394"/>
      <c r="N36" s="394"/>
      <c r="O36" s="394"/>
      <c r="P36" s="394"/>
      <c r="Q36" s="394"/>
    </row>
    <row r="37" spans="6:17" x14ac:dyDescent="0.25">
      <c r="F37" s="394"/>
      <c r="G37" s="394"/>
      <c r="H37" s="394"/>
      <c r="I37" s="394"/>
      <c r="J37" s="394"/>
      <c r="K37" s="395">
        <v>0.16</v>
      </c>
      <c r="L37" s="394"/>
      <c r="M37" s="394"/>
      <c r="N37" s="394"/>
      <c r="O37" s="394"/>
      <c r="P37" s="394"/>
      <c r="Q37" s="394"/>
    </row>
    <row r="38" spans="6:17" x14ac:dyDescent="0.25">
      <c r="F38" s="394"/>
      <c r="G38" s="394"/>
      <c r="H38" s="394"/>
      <c r="I38" s="394"/>
      <c r="J38" s="394"/>
      <c r="K38" s="395">
        <v>0</v>
      </c>
      <c r="L38" s="394"/>
      <c r="M38" s="394"/>
      <c r="N38" s="394"/>
      <c r="O38" s="394"/>
      <c r="P38" s="394"/>
      <c r="Q38" s="394"/>
    </row>
  </sheetData>
  <sheetProtection password="EF95" sheet="1" objects="1" scenarios="1"/>
  <dataValidations count="11">
    <dataValidation type="list" allowBlank="1" showInputMessage="1" showErrorMessage="1" sqref="E13">
      <formula1>$Q$30:$Q$33</formula1>
    </dataValidation>
    <dataValidation type="list" allowBlank="1" showInputMessage="1" showErrorMessage="1" sqref="E18">
      <formula1>$O$30:$O$35</formula1>
    </dataValidation>
    <dataValidation type="list" allowBlank="1" showInputMessage="1" showErrorMessage="1" sqref="E15">
      <formula1>$N$30:$N$34</formula1>
    </dataValidation>
    <dataValidation type="list" allowBlank="1" showInputMessage="1" showErrorMessage="1" sqref="E14">
      <formula1>$M$30:$M$34</formula1>
    </dataValidation>
    <dataValidation type="list" allowBlank="1" showInputMessage="1" showErrorMessage="1" sqref="E2">
      <formula1>$G$30:$G$32</formula1>
    </dataValidation>
    <dataValidation type="list" allowBlank="1" showInputMessage="1" showErrorMessage="1" sqref="E3">
      <formula1>$H$30:$H$32</formula1>
    </dataValidation>
    <dataValidation type="list" allowBlank="1" showInputMessage="1" showErrorMessage="1" sqref="E4">
      <formula1>$I$30:$I$33</formula1>
    </dataValidation>
    <dataValidation type="list" allowBlank="1" showInputMessage="1" showErrorMessage="1" sqref="E5">
      <formula1>$J$30:$J$32</formula1>
    </dataValidation>
    <dataValidation type="list" allowBlank="1" showInputMessage="1" showErrorMessage="1" sqref="E9">
      <formula1>$K$30:$K$38</formula1>
    </dataValidation>
    <dataValidation type="list" allowBlank="1" showInputMessage="1" showErrorMessage="1" sqref="E12">
      <formula1>$L$30:$L$34</formula1>
    </dataValidation>
    <dataValidation type="list" allowBlank="1" showInputMessage="1" showErrorMessage="1" sqref="B2">
      <formula1>$F$30:$F$31</formula1>
    </dataValidation>
  </dataValidations>
  <pageMargins left="0.7" right="0.7" top="0.75" bottom="0.75" header="0.3" footer="0.3"/>
  <pageSetup scale="98" orientation="landscape" r:id="rId1"/>
  <headerFooter>
    <oddHeader>&amp;CUser Inputs and Defaults</oddHeader>
    <oddFooter>&amp;C&amp;D</oddFooter>
  </headerFooter>
  <rowBreaks count="1" manualBreakCount="1">
    <brk id="2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3"/>
  <sheetViews>
    <sheetView view="pageLayout" zoomScaleNormal="100" workbookViewId="0"/>
  </sheetViews>
  <sheetFormatPr defaultRowHeight="15" x14ac:dyDescent="0.25"/>
  <cols>
    <col min="1" max="1" width="24.28515625" customWidth="1"/>
    <col min="2" max="2" width="2.85546875" bestFit="1" customWidth="1"/>
    <col min="3" max="3" width="13.42578125" bestFit="1" customWidth="1"/>
    <col min="4" max="4" width="12.5703125" bestFit="1" customWidth="1"/>
    <col min="5" max="5" width="14.28515625" bestFit="1" customWidth="1"/>
    <col min="6" max="8" width="12.5703125" bestFit="1" customWidth="1"/>
    <col min="9" max="9" width="15.140625" bestFit="1" customWidth="1"/>
    <col min="10" max="10" width="13.5703125" customWidth="1"/>
    <col min="11" max="11" width="28.42578125" customWidth="1"/>
    <col min="13" max="13" width="13.85546875" customWidth="1"/>
  </cols>
  <sheetData>
    <row r="1" spans="1:14" x14ac:dyDescent="0.25">
      <c r="A1" s="17"/>
      <c r="B1" s="73"/>
    </row>
    <row r="2" spans="1:14" ht="15" customHeight="1" x14ac:dyDescent="0.25">
      <c r="A2" s="115" t="s">
        <v>92</v>
      </c>
      <c r="B2" s="2"/>
      <c r="C2" s="42" t="str">
        <f>IF((Manual!B6+Manual!B4)&lt;1," ",'Pax Service Overview'!B1)</f>
        <v xml:space="preserve"> </v>
      </c>
      <c r="D2" s="164" t="str">
        <f>IF((Manual!C6+Manual!C4)&lt;1," ",'Pax Service Overview'!C1)</f>
        <v xml:space="preserve"> </v>
      </c>
      <c r="E2" s="42" t="str">
        <f>IF((Manual!D6+Manual!D4)&lt;1," ",'Pax Service Overview'!D1)</f>
        <v xml:space="preserve"> </v>
      </c>
      <c r="F2" s="42" t="str">
        <f>IF((Manual!E6+Manual!E4)&lt;1," ",'Pax Service Overview'!E1)</f>
        <v>51-100 Pax, &lt;20kt</v>
      </c>
      <c r="G2" s="42" t="str">
        <f>IF((Manual!F6+Manual!F4)&lt;1," ",'Pax Service Overview'!F1)</f>
        <v xml:space="preserve"> </v>
      </c>
      <c r="H2" s="42" t="str">
        <f>IF((Manual!G6+Manual!G4)&lt;1," ",'Pax Service Overview'!G1)</f>
        <v xml:space="preserve"> </v>
      </c>
      <c r="I2" s="42" t="str">
        <f>IF((Manual!H6+Manual!H4)&lt;1," ",'Pax Service Overview'!H1)</f>
        <v xml:space="preserve"> </v>
      </c>
      <c r="J2" s="42" t="str">
        <f>IF((Manual!I6+Manual!I4)&lt;1," ",'Pax Service Overview'!I1)</f>
        <v xml:space="preserve"> </v>
      </c>
    </row>
    <row r="3" spans="1:14" x14ac:dyDescent="0.25">
      <c r="A3" s="48" t="s">
        <v>29</v>
      </c>
      <c r="B3" s="74"/>
      <c r="C3" s="13">
        <f>Manual!B39</f>
        <v>0</v>
      </c>
      <c r="D3" s="13">
        <f>Manual!C39</f>
        <v>0</v>
      </c>
      <c r="E3" s="13">
        <f>Manual!D39</f>
        <v>0</v>
      </c>
      <c r="F3" s="13">
        <f>Manual!E39</f>
        <v>6120</v>
      </c>
      <c r="G3" s="13">
        <f>Manual!F39</f>
        <v>0</v>
      </c>
      <c r="H3" s="13">
        <f>Manual!G39</f>
        <v>0</v>
      </c>
      <c r="I3" s="13">
        <f>Manual!H39</f>
        <v>0</v>
      </c>
      <c r="J3" s="13">
        <f>Manual!I39</f>
        <v>0</v>
      </c>
      <c r="K3" s="9"/>
      <c r="L3" s="9"/>
      <c r="M3" s="266"/>
      <c r="N3" s="9"/>
    </row>
    <row r="4" spans="1:14" x14ac:dyDescent="0.25">
      <c r="A4" s="30" t="s">
        <v>34</v>
      </c>
      <c r="B4" s="34" t="s">
        <v>142</v>
      </c>
      <c r="C4" s="14">
        <f>+'Vessel Data'!C37*C3*'User Inputs'!$E5</f>
        <v>0</v>
      </c>
      <c r="D4" s="14">
        <f>+'Vessel Data'!D37*D3*'User Inputs'!$E5</f>
        <v>0</v>
      </c>
      <c r="E4" s="14">
        <f>+'Vessel Data'!E37*E3*'User Inputs'!$E5</f>
        <v>0</v>
      </c>
      <c r="F4" s="14">
        <f>+'Vessel Data'!F37*F3*'User Inputs'!$E5</f>
        <v>300170.7</v>
      </c>
      <c r="G4" s="14">
        <f>+'Vessel Data'!G37*G3*'User Inputs'!$E5</f>
        <v>0</v>
      </c>
      <c r="H4" s="14">
        <f>+'Vessel Data'!H37*H3*'User Inputs'!$E5</f>
        <v>0</v>
      </c>
      <c r="I4" s="14">
        <f>+'Vessel Data'!I37*I3*'User Inputs'!$E5</f>
        <v>0</v>
      </c>
      <c r="J4" s="14">
        <f>+'Vessel Data'!J37*J3*'User Inputs'!$E5</f>
        <v>0</v>
      </c>
      <c r="K4" s="9"/>
      <c r="L4" s="9"/>
      <c r="M4" s="266"/>
      <c r="N4" s="9"/>
    </row>
    <row r="5" spans="1:14" x14ac:dyDescent="0.25">
      <c r="A5" s="30" t="s">
        <v>2</v>
      </c>
      <c r="B5" s="34" t="s">
        <v>142</v>
      </c>
      <c r="C5" s="14">
        <f>AVERAGE('Vessel Data'!C39:C40)*C3</f>
        <v>0</v>
      </c>
      <c r="D5" s="14">
        <f>AVERAGE('Vessel Data'!D39:D40)*D3</f>
        <v>0</v>
      </c>
      <c r="E5" s="14">
        <f>AVERAGE('Vessel Data'!E39:E40)*E3</f>
        <v>0</v>
      </c>
      <c r="F5" s="14">
        <f>AVERAGE('Vessel Data'!F39:F40)*F3</f>
        <v>213758.32422888716</v>
      </c>
      <c r="G5" s="14">
        <f>AVERAGE('Vessel Data'!G39:G40)*G3</f>
        <v>0</v>
      </c>
      <c r="H5" s="14">
        <f>AVERAGE('Vessel Data'!H39:H40)*H3</f>
        <v>0</v>
      </c>
      <c r="I5" s="14">
        <f>AVERAGE('Vessel Data'!I39:I40)*I3</f>
        <v>0</v>
      </c>
      <c r="J5" s="14">
        <f>AVERAGE('Vessel Data'!J39:J40)*J3</f>
        <v>0</v>
      </c>
      <c r="K5" s="9"/>
      <c r="L5" s="9"/>
      <c r="M5" s="266"/>
      <c r="N5" s="9"/>
    </row>
    <row r="6" spans="1:14" x14ac:dyDescent="0.25">
      <c r="A6" s="108" t="s">
        <v>3</v>
      </c>
      <c r="B6" s="109" t="s">
        <v>143</v>
      </c>
      <c r="C6" s="110">
        <f>IF(C3&gt;0,(-'Manual Capital'!C6*(0.021+'Vessel Data'!C42*C3))*(1+0.02*'User Inputs'!$E23),0)</f>
        <v>0</v>
      </c>
      <c r="D6" s="110">
        <f>IF(D3&gt;0,(-'Manual Capital'!D6*(0.021+'Vessel Data'!D42*D3))*(1+0.02*'User Inputs'!$E23),0)</f>
        <v>0</v>
      </c>
      <c r="E6" s="110">
        <f>IF(E3&gt;0,(-'Manual Capital'!E6*(0.021+'Vessel Data'!E42*E3))*(1+0.02*'User Inputs'!$E23),0)</f>
        <v>0</v>
      </c>
      <c r="F6" s="110">
        <f>IF(F3&gt;0,(-'Manual Capital'!F6*(0.021+'Vessel Data'!F42*F3))*(1+0.02*'User Inputs'!$E23),0)</f>
        <v>176178.38065625</v>
      </c>
      <c r="G6" s="110">
        <f>IF(G3&gt;0,(-'Manual Capital'!G6*(0.021+'Vessel Data'!G42*G3))*(1+0.02*'User Inputs'!$E23),0)</f>
        <v>0</v>
      </c>
      <c r="H6" s="110">
        <f>IF(H3&gt;0,(-'Manual Capital'!H6*(0.021+'Vessel Data'!H42*H3))*(1+0.02*'User Inputs'!$E23),0)</f>
        <v>0</v>
      </c>
      <c r="I6" s="110">
        <f>IF(I3&gt;0,(-'Manual Capital'!I6*(0.021+'Vessel Data'!I42*I3))*(1+0.02*'User Inputs'!$E23),0)</f>
        <v>0</v>
      </c>
      <c r="J6" s="110">
        <f>IF(J3&gt;0,(-'Manual Capital'!J6*(0.021+'Vessel Data'!J42*J3))*(1+0.02*'User Inputs'!$E23),0)</f>
        <v>0</v>
      </c>
      <c r="K6" s="9"/>
      <c r="L6" s="9"/>
      <c r="M6" s="308"/>
      <c r="N6" s="9"/>
    </row>
    <row r="7" spans="1:14" x14ac:dyDescent="0.25">
      <c r="A7" s="108" t="s">
        <v>38</v>
      </c>
      <c r="B7" s="109" t="s">
        <v>144</v>
      </c>
      <c r="C7" s="110">
        <f>IF(C3&gt;0,'Manual Capital'!C6*-0.02+'User Inputs'!$B23*0.35,0)</f>
        <v>0</v>
      </c>
      <c r="D7" s="110">
        <f>IF(D3&gt;0,'Manual Capital'!D6*-0.02+'User Inputs'!$B23*0.35,0)</f>
        <v>0</v>
      </c>
      <c r="E7" s="110">
        <f>IF(E3&gt;0,'Manual Capital'!E6*-0.02+'User Inputs'!$B23*0.35,0)</f>
        <v>0</v>
      </c>
      <c r="F7" s="110">
        <f>IF(F3&gt;0,'Manual Capital'!F6*-0.02+'User Inputs'!$B23*0.35,0)</f>
        <v>77861.145833333343</v>
      </c>
      <c r="G7" s="110">
        <f>IF(G3&gt;0,'Manual Capital'!G6*-0.02+'User Inputs'!$B23*0.35,0)</f>
        <v>0</v>
      </c>
      <c r="H7" s="110">
        <f>IF(H3&gt;0,'Manual Capital'!H6*-0.02+'User Inputs'!$B23*0.35,0)</f>
        <v>0</v>
      </c>
      <c r="I7" s="110">
        <f>IF(I3&gt;0,'Manual Capital'!I6*-0.02+'User Inputs'!$B23*0.35,0)</f>
        <v>0</v>
      </c>
      <c r="J7" s="110">
        <f>IF(J3&gt;0,'Manual Capital'!J6*-0.02+'User Inputs'!$B23*0.35,0)</f>
        <v>0</v>
      </c>
      <c r="K7" s="9"/>
      <c r="L7" s="9"/>
      <c r="M7" s="308"/>
      <c r="N7" s="9"/>
    </row>
    <row r="8" spans="1:14" ht="30" x14ac:dyDescent="0.25">
      <c r="A8" s="111" t="s">
        <v>39</v>
      </c>
      <c r="B8" s="112" t="s">
        <v>143</v>
      </c>
      <c r="C8" s="110">
        <f>IF(C3&gt;0,IF('User Inputs'!$B2="New Service",'User Inputs'!$B$23*'User Inputs'!$E$15+70000, 'User Inputs'!$B$23*'User Inputs'!$E$15),0)</f>
        <v>0</v>
      </c>
      <c r="D8" s="110">
        <f>IF(AND(D3&gt;0,C8=0),IF('User Inputs'!$B2="New Service",'User Inputs'!$B$23*'User Inputs'!$E$15+70000, 'User Inputs'!$B$23*'User Inputs'!$E$15),0)</f>
        <v>0</v>
      </c>
      <c r="E8" s="110">
        <f>IF(AND(E3&gt;0,SUM($C8:D8)=0),IF('User Inputs'!$B2="New Service",'User Inputs'!$B$23*'User Inputs'!$E$15+70000, 'User Inputs'!$B$23*'User Inputs'!$E$15),0)</f>
        <v>0</v>
      </c>
      <c r="F8" s="110">
        <f>IF(AND(F3&gt;0,SUM($C8:E8)=0),IF('User Inputs'!$B2="New Service",'User Inputs'!$B$23*'User Inputs'!$E$15+70000, 'User Inputs'!$B$23*'User Inputs'!$E$15),0)</f>
        <v>154240</v>
      </c>
      <c r="G8" s="110">
        <f>IF(AND(G3&gt;0,SUM($C8:F8)=0),IF('User Inputs'!$B2="New Service",'User Inputs'!$B$23*'User Inputs'!$E$15+70000, 'User Inputs'!$B$23*'User Inputs'!$E$15),0)</f>
        <v>0</v>
      </c>
      <c r="H8" s="110">
        <f>IF(AND(H3&gt;0,SUM($C8:G8)=0),IF('User Inputs'!$B2="New Service",'User Inputs'!$B$23*'User Inputs'!$E$15+70000, 'User Inputs'!$B$23*'User Inputs'!$E$15),0)</f>
        <v>0</v>
      </c>
      <c r="I8" s="110">
        <f>IF(AND(I3&gt;0,SUM($C8:H8)=0),IF('User Inputs'!$B2="New Service",'User Inputs'!$B$23*'User Inputs'!$E$15+70000, 'User Inputs'!$B$23*'User Inputs'!$E$15),0)</f>
        <v>0</v>
      </c>
      <c r="J8" s="110">
        <f>IF(AND(J3&gt;0,SUM($C8:I8)=0),IF('User Inputs'!$B2="New Service",'User Inputs'!$B$23*'User Inputs'!$E$15+70000, 'User Inputs'!$B$23*'User Inputs'!$E$15),0)</f>
        <v>0</v>
      </c>
      <c r="K8" s="9"/>
      <c r="L8" s="9"/>
      <c r="M8" s="308"/>
      <c r="N8" s="9"/>
    </row>
    <row r="9" spans="1:14" ht="30" x14ac:dyDescent="0.25">
      <c r="A9" s="65" t="s">
        <v>163</v>
      </c>
      <c r="B9" s="77"/>
      <c r="C9" s="15">
        <f>ROUND(SUM(C4:C8),-3)</f>
        <v>0</v>
      </c>
      <c r="D9" s="15">
        <f t="shared" ref="D9:J9" si="0">ROUND(SUM(D4:D8),-3)</f>
        <v>0</v>
      </c>
      <c r="E9" s="15">
        <f t="shared" si="0"/>
        <v>0</v>
      </c>
      <c r="F9" s="15">
        <f t="shared" si="0"/>
        <v>922000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9"/>
      <c r="L9" s="9"/>
      <c r="M9" s="266"/>
      <c r="N9" s="9"/>
    </row>
    <row r="10" spans="1:14" ht="30" x14ac:dyDescent="0.25">
      <c r="A10" s="67" t="s">
        <v>52</v>
      </c>
      <c r="B10" s="78"/>
      <c r="C10" s="14" t="str">
        <f>IF(C3&gt;0,C15/C3," ")</f>
        <v xml:space="preserve"> </v>
      </c>
      <c r="D10" s="14" t="str">
        <f t="shared" ref="D10:J10" si="1">IF(D3&gt;0,D15/D3," ")</f>
        <v xml:space="preserve"> </v>
      </c>
      <c r="E10" s="14" t="str">
        <f t="shared" si="1"/>
        <v xml:space="preserve"> </v>
      </c>
      <c r="F10" s="14">
        <f t="shared" si="1"/>
        <v>150.65359477124184</v>
      </c>
      <c r="G10" s="14" t="str">
        <f t="shared" si="1"/>
        <v xml:space="preserve"> </v>
      </c>
      <c r="H10" s="14" t="str">
        <f t="shared" si="1"/>
        <v xml:space="preserve"> </v>
      </c>
      <c r="I10" s="14" t="str">
        <f t="shared" si="1"/>
        <v xml:space="preserve"> </v>
      </c>
      <c r="J10" s="14" t="str">
        <f t="shared" si="1"/>
        <v xml:space="preserve"> </v>
      </c>
      <c r="K10" s="9"/>
      <c r="L10" s="9"/>
      <c r="M10" s="266"/>
      <c r="N10" s="9"/>
    </row>
    <row r="11" spans="1:14" ht="30" x14ac:dyDescent="0.25">
      <c r="A11" s="66" t="s">
        <v>53</v>
      </c>
      <c r="B11" s="79"/>
      <c r="C11" s="32" t="str">
        <f>IF(C3&gt;0,C15/'RORO Service Overview'!B13," ")</f>
        <v xml:space="preserve"> </v>
      </c>
      <c r="D11" s="32" t="str">
        <f>IF(D3&gt;0,D15/'RORO Service Overview'!C13," ")</f>
        <v xml:space="preserve"> </v>
      </c>
      <c r="E11" s="32" t="str">
        <f>IF(E3&gt;0,E15/'RORO Service Overview'!D13," ")</f>
        <v xml:space="preserve"> </v>
      </c>
      <c r="F11" s="32">
        <f>IF(F3&gt;0,F15/'RORO Service Overview'!E13," ")</f>
        <v>808.77192982456143</v>
      </c>
      <c r="G11" s="32" t="str">
        <f>IF(G3&gt;0,G15/'RORO Service Overview'!F13," ")</f>
        <v xml:space="preserve"> </v>
      </c>
      <c r="H11" s="32" t="str">
        <f>IF(H3&gt;0,H15/'RORO Service Overview'!G13," ")</f>
        <v xml:space="preserve"> </v>
      </c>
      <c r="I11" s="32" t="str">
        <f>IF(I3&gt;0,I15/'RORO Service Overview'!H13," ")</f>
        <v xml:space="preserve"> </v>
      </c>
      <c r="J11" s="32" t="str">
        <f>IF(J3&gt;0,J15/'RORO Service Overview'!I13," ")</f>
        <v xml:space="preserve"> </v>
      </c>
      <c r="K11" s="9"/>
      <c r="L11" s="9"/>
      <c r="M11" s="266"/>
      <c r="N11" s="9"/>
    </row>
    <row r="12" spans="1:14" ht="9" customHeight="1" x14ac:dyDescent="0.25"/>
    <row r="13" spans="1:14" ht="30" x14ac:dyDescent="0.25">
      <c r="A13" s="38" t="s">
        <v>75</v>
      </c>
      <c r="B13" s="34"/>
      <c r="C13" s="37"/>
      <c r="D13" s="37"/>
      <c r="E13" s="35"/>
      <c r="F13" s="35"/>
      <c r="G13" s="35"/>
      <c r="H13" s="35"/>
      <c r="I13" s="35"/>
      <c r="J13" s="35"/>
    </row>
    <row r="14" spans="1:14" x14ac:dyDescent="0.25">
      <c r="A14" s="4" t="s">
        <v>42</v>
      </c>
      <c r="B14" s="33">
        <v>0</v>
      </c>
      <c r="C14" s="14">
        <f t="shared" ref="C14:J23" si="2">ROUND(C42+C70+C98,-3)</f>
        <v>0</v>
      </c>
      <c r="D14" s="14">
        <f t="shared" si="2"/>
        <v>0</v>
      </c>
      <c r="E14" s="14">
        <f t="shared" si="2"/>
        <v>0</v>
      </c>
      <c r="F14" s="14">
        <f t="shared" si="2"/>
        <v>0</v>
      </c>
      <c r="G14" s="14">
        <f t="shared" si="2"/>
        <v>0</v>
      </c>
      <c r="H14" s="14">
        <f t="shared" si="2"/>
        <v>0</v>
      </c>
      <c r="I14" s="14">
        <f t="shared" si="2"/>
        <v>0</v>
      </c>
      <c r="J14" s="14">
        <f t="shared" si="2"/>
        <v>0</v>
      </c>
    </row>
    <row r="15" spans="1:14" x14ac:dyDescent="0.25">
      <c r="A15" s="4" t="s">
        <v>42</v>
      </c>
      <c r="B15" s="33">
        <v>1</v>
      </c>
      <c r="C15" s="14">
        <f t="shared" si="2"/>
        <v>0</v>
      </c>
      <c r="D15" s="14">
        <f t="shared" si="2"/>
        <v>0</v>
      </c>
      <c r="E15" s="14">
        <f t="shared" si="2"/>
        <v>0</v>
      </c>
      <c r="F15" s="14">
        <f t="shared" si="2"/>
        <v>922000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</row>
    <row r="16" spans="1:14" x14ac:dyDescent="0.25">
      <c r="A16" s="4" t="s">
        <v>42</v>
      </c>
      <c r="B16" s="33">
        <v>2</v>
      </c>
      <c r="C16" s="14">
        <f t="shared" si="2"/>
        <v>0</v>
      </c>
      <c r="D16" s="14">
        <f t="shared" si="2"/>
        <v>0</v>
      </c>
      <c r="E16" s="14">
        <f t="shared" si="2"/>
        <v>0</v>
      </c>
      <c r="F16" s="14">
        <f t="shared" si="2"/>
        <v>961000</v>
      </c>
      <c r="G16" s="14">
        <f t="shared" si="2"/>
        <v>0</v>
      </c>
      <c r="H16" s="14">
        <f t="shared" si="2"/>
        <v>0</v>
      </c>
      <c r="I16" s="14">
        <f t="shared" si="2"/>
        <v>0</v>
      </c>
      <c r="J16" s="14">
        <f t="shared" si="2"/>
        <v>0</v>
      </c>
    </row>
    <row r="17" spans="1:10" x14ac:dyDescent="0.25">
      <c r="A17" s="4" t="s">
        <v>42</v>
      </c>
      <c r="B17" s="33">
        <v>3</v>
      </c>
      <c r="C17" s="14">
        <f t="shared" si="2"/>
        <v>0</v>
      </c>
      <c r="D17" s="14">
        <f t="shared" si="2"/>
        <v>0</v>
      </c>
      <c r="E17" s="14">
        <f t="shared" si="2"/>
        <v>0</v>
      </c>
      <c r="F17" s="14">
        <f t="shared" si="2"/>
        <v>1003000</v>
      </c>
      <c r="G17" s="14">
        <f t="shared" si="2"/>
        <v>0</v>
      </c>
      <c r="H17" s="14">
        <f t="shared" si="2"/>
        <v>0</v>
      </c>
      <c r="I17" s="14">
        <f t="shared" si="2"/>
        <v>0</v>
      </c>
      <c r="J17" s="14">
        <f t="shared" si="2"/>
        <v>0</v>
      </c>
    </row>
    <row r="18" spans="1:10" x14ac:dyDescent="0.25">
      <c r="A18" s="4" t="s">
        <v>42</v>
      </c>
      <c r="B18" s="33">
        <v>4</v>
      </c>
      <c r="C18" s="14">
        <f t="shared" si="2"/>
        <v>0</v>
      </c>
      <c r="D18" s="14">
        <f t="shared" si="2"/>
        <v>0</v>
      </c>
      <c r="E18" s="14">
        <f t="shared" si="2"/>
        <v>0</v>
      </c>
      <c r="F18" s="14">
        <f t="shared" si="2"/>
        <v>1048000</v>
      </c>
      <c r="G18" s="14">
        <f t="shared" si="2"/>
        <v>0</v>
      </c>
      <c r="H18" s="14">
        <f t="shared" si="2"/>
        <v>0</v>
      </c>
      <c r="I18" s="14">
        <f t="shared" si="2"/>
        <v>0</v>
      </c>
      <c r="J18" s="14">
        <f t="shared" si="2"/>
        <v>0</v>
      </c>
    </row>
    <row r="19" spans="1:10" x14ac:dyDescent="0.25">
      <c r="A19" s="4" t="s">
        <v>42</v>
      </c>
      <c r="B19" s="33">
        <v>5</v>
      </c>
      <c r="C19" s="14">
        <f t="shared" si="2"/>
        <v>0</v>
      </c>
      <c r="D19" s="14">
        <f t="shared" si="2"/>
        <v>0</v>
      </c>
      <c r="E19" s="14">
        <f t="shared" si="2"/>
        <v>0</v>
      </c>
      <c r="F19" s="14">
        <f t="shared" si="2"/>
        <v>1095000</v>
      </c>
      <c r="G19" s="14">
        <f t="shared" si="2"/>
        <v>0</v>
      </c>
      <c r="H19" s="14">
        <f t="shared" si="2"/>
        <v>0</v>
      </c>
      <c r="I19" s="14">
        <f t="shared" si="2"/>
        <v>0</v>
      </c>
      <c r="J19" s="14">
        <f t="shared" si="2"/>
        <v>0</v>
      </c>
    </row>
    <row r="20" spans="1:10" x14ac:dyDescent="0.25">
      <c r="A20" s="4" t="s">
        <v>42</v>
      </c>
      <c r="B20" s="33">
        <v>6</v>
      </c>
      <c r="C20" s="14">
        <f t="shared" si="2"/>
        <v>0</v>
      </c>
      <c r="D20" s="14">
        <f t="shared" si="2"/>
        <v>0</v>
      </c>
      <c r="E20" s="14">
        <f t="shared" si="2"/>
        <v>0</v>
      </c>
      <c r="F20" s="14">
        <f t="shared" si="2"/>
        <v>1146000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 t="shared" si="2"/>
        <v>0</v>
      </c>
    </row>
    <row r="21" spans="1:10" x14ac:dyDescent="0.25">
      <c r="A21" s="4" t="s">
        <v>42</v>
      </c>
      <c r="B21" s="33">
        <v>7</v>
      </c>
      <c r="C21" s="14">
        <f t="shared" si="2"/>
        <v>0</v>
      </c>
      <c r="D21" s="14">
        <f t="shared" si="2"/>
        <v>0</v>
      </c>
      <c r="E21" s="14">
        <f t="shared" si="2"/>
        <v>0</v>
      </c>
      <c r="F21" s="14">
        <f t="shared" si="2"/>
        <v>1200000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</row>
    <row r="22" spans="1:10" x14ac:dyDescent="0.25">
      <c r="A22" s="4" t="s">
        <v>42</v>
      </c>
      <c r="B22" s="33">
        <v>8</v>
      </c>
      <c r="C22" s="14">
        <f t="shared" si="2"/>
        <v>0</v>
      </c>
      <c r="D22" s="14">
        <f t="shared" si="2"/>
        <v>0</v>
      </c>
      <c r="E22" s="14">
        <f t="shared" si="2"/>
        <v>0</v>
      </c>
      <c r="F22" s="14">
        <f t="shared" si="2"/>
        <v>1259000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si="2"/>
        <v>0</v>
      </c>
    </row>
    <row r="23" spans="1:10" x14ac:dyDescent="0.25">
      <c r="A23" s="4" t="s">
        <v>42</v>
      </c>
      <c r="B23" s="33">
        <v>9</v>
      </c>
      <c r="C23" s="14">
        <f t="shared" si="2"/>
        <v>0</v>
      </c>
      <c r="D23" s="14">
        <f t="shared" si="2"/>
        <v>0</v>
      </c>
      <c r="E23" s="14">
        <f t="shared" si="2"/>
        <v>0</v>
      </c>
      <c r="F23" s="14">
        <f t="shared" si="2"/>
        <v>1321000</v>
      </c>
      <c r="G23" s="14">
        <f t="shared" si="2"/>
        <v>0</v>
      </c>
      <c r="H23" s="14">
        <f t="shared" si="2"/>
        <v>0</v>
      </c>
      <c r="I23" s="14">
        <f t="shared" si="2"/>
        <v>0</v>
      </c>
      <c r="J23" s="14">
        <f t="shared" si="2"/>
        <v>0</v>
      </c>
    </row>
    <row r="24" spans="1:10" x14ac:dyDescent="0.25">
      <c r="A24" s="4" t="s">
        <v>42</v>
      </c>
      <c r="B24" s="33">
        <v>10</v>
      </c>
      <c r="C24" s="14">
        <f t="shared" ref="C24:J29" si="3">ROUND(C52+C80+C108,-3)</f>
        <v>0</v>
      </c>
      <c r="D24" s="14">
        <f t="shared" si="3"/>
        <v>0</v>
      </c>
      <c r="E24" s="14">
        <f t="shared" si="3"/>
        <v>0</v>
      </c>
      <c r="F24" s="14">
        <f t="shared" si="3"/>
        <v>1389000</v>
      </c>
      <c r="G24" s="14">
        <f t="shared" si="3"/>
        <v>0</v>
      </c>
      <c r="H24" s="14">
        <f t="shared" si="3"/>
        <v>0</v>
      </c>
      <c r="I24" s="14">
        <f t="shared" si="3"/>
        <v>0</v>
      </c>
      <c r="J24" s="14">
        <f t="shared" si="3"/>
        <v>0</v>
      </c>
    </row>
    <row r="25" spans="1:10" x14ac:dyDescent="0.25">
      <c r="A25" s="4" t="s">
        <v>42</v>
      </c>
      <c r="B25" s="33">
        <v>11</v>
      </c>
      <c r="C25" s="14">
        <f t="shared" si="3"/>
        <v>0</v>
      </c>
      <c r="D25" s="14">
        <f t="shared" si="3"/>
        <v>0</v>
      </c>
      <c r="E25" s="14">
        <f t="shared" si="3"/>
        <v>0</v>
      </c>
      <c r="F25" s="14">
        <f t="shared" si="3"/>
        <v>1461000</v>
      </c>
      <c r="G25" s="14">
        <f t="shared" si="3"/>
        <v>0</v>
      </c>
      <c r="H25" s="14">
        <f t="shared" si="3"/>
        <v>0</v>
      </c>
      <c r="I25" s="14">
        <f t="shared" si="3"/>
        <v>0</v>
      </c>
      <c r="J25" s="14">
        <f t="shared" si="3"/>
        <v>0</v>
      </c>
    </row>
    <row r="26" spans="1:10" x14ac:dyDescent="0.25">
      <c r="A26" s="4" t="s">
        <v>42</v>
      </c>
      <c r="B26" s="33">
        <v>12</v>
      </c>
      <c r="C26" s="14">
        <f t="shared" si="3"/>
        <v>0</v>
      </c>
      <c r="D26" s="14">
        <f t="shared" si="3"/>
        <v>0</v>
      </c>
      <c r="E26" s="14">
        <f t="shared" si="3"/>
        <v>0</v>
      </c>
      <c r="F26" s="14">
        <f t="shared" si="3"/>
        <v>1539000</v>
      </c>
      <c r="G26" s="14">
        <f t="shared" si="3"/>
        <v>0</v>
      </c>
      <c r="H26" s="14">
        <f t="shared" si="3"/>
        <v>0</v>
      </c>
      <c r="I26" s="14">
        <f t="shared" si="3"/>
        <v>0</v>
      </c>
      <c r="J26" s="14">
        <f t="shared" si="3"/>
        <v>0</v>
      </c>
    </row>
    <row r="27" spans="1:10" x14ac:dyDescent="0.25">
      <c r="A27" s="4" t="s">
        <v>42</v>
      </c>
      <c r="B27" s="33">
        <v>13</v>
      </c>
      <c r="C27" s="14">
        <f t="shared" si="3"/>
        <v>0</v>
      </c>
      <c r="D27" s="14">
        <f t="shared" si="3"/>
        <v>0</v>
      </c>
      <c r="E27" s="14">
        <f t="shared" si="3"/>
        <v>0</v>
      </c>
      <c r="F27" s="14">
        <f t="shared" si="3"/>
        <v>1623000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</row>
    <row r="28" spans="1:10" x14ac:dyDescent="0.25">
      <c r="A28" s="4" t="s">
        <v>42</v>
      </c>
      <c r="B28" s="33">
        <v>14</v>
      </c>
      <c r="C28" s="14">
        <f t="shared" si="3"/>
        <v>0</v>
      </c>
      <c r="D28" s="14">
        <f t="shared" si="3"/>
        <v>0</v>
      </c>
      <c r="E28" s="14">
        <f t="shared" si="3"/>
        <v>0</v>
      </c>
      <c r="F28" s="14">
        <f t="shared" si="3"/>
        <v>1714000</v>
      </c>
      <c r="G28" s="14">
        <f t="shared" si="3"/>
        <v>0</v>
      </c>
      <c r="H28" s="14">
        <f t="shared" si="3"/>
        <v>0</v>
      </c>
      <c r="I28" s="14">
        <f t="shared" si="3"/>
        <v>0</v>
      </c>
      <c r="J28" s="14">
        <f t="shared" si="3"/>
        <v>0</v>
      </c>
    </row>
    <row r="29" spans="1:10" x14ac:dyDescent="0.25">
      <c r="A29" s="4" t="s">
        <v>42</v>
      </c>
      <c r="B29" s="33">
        <v>15</v>
      </c>
      <c r="C29" s="14">
        <f t="shared" si="3"/>
        <v>0</v>
      </c>
      <c r="D29" s="14">
        <f t="shared" si="3"/>
        <v>0</v>
      </c>
      <c r="E29" s="14">
        <f t="shared" si="3"/>
        <v>0</v>
      </c>
      <c r="F29" s="14">
        <f t="shared" si="3"/>
        <v>1812000</v>
      </c>
      <c r="G29" s="14">
        <f t="shared" si="3"/>
        <v>0</v>
      </c>
      <c r="H29" s="14">
        <f t="shared" si="3"/>
        <v>0</v>
      </c>
      <c r="I29" s="14">
        <f t="shared" si="3"/>
        <v>0</v>
      </c>
      <c r="J29" s="14">
        <f t="shared" si="3"/>
        <v>0</v>
      </c>
    </row>
    <row r="30" spans="1:10" x14ac:dyDescent="0.25">
      <c r="A30" s="4" t="s">
        <v>42</v>
      </c>
      <c r="B30" s="33">
        <v>16</v>
      </c>
      <c r="C30" s="14">
        <f t="shared" ref="C30:J30" si="4">ROUND(C58+C86+C114,-3)</f>
        <v>0</v>
      </c>
      <c r="D30" s="14">
        <f t="shared" si="4"/>
        <v>0</v>
      </c>
      <c r="E30" s="14">
        <f t="shared" si="4"/>
        <v>0</v>
      </c>
      <c r="F30" s="14">
        <f t="shared" si="4"/>
        <v>1918000</v>
      </c>
      <c r="G30" s="14">
        <f t="shared" si="4"/>
        <v>0</v>
      </c>
      <c r="H30" s="14">
        <f t="shared" si="4"/>
        <v>0</v>
      </c>
      <c r="I30" s="14">
        <f t="shared" si="4"/>
        <v>0</v>
      </c>
      <c r="J30" s="14">
        <f t="shared" si="4"/>
        <v>0</v>
      </c>
    </row>
    <row r="31" spans="1:10" x14ac:dyDescent="0.25">
      <c r="A31" s="4" t="s">
        <v>42</v>
      </c>
      <c r="B31" s="33">
        <v>17</v>
      </c>
      <c r="C31" s="14">
        <f t="shared" ref="C31:J31" si="5">ROUND(C59+C87+C115,-3)</f>
        <v>0</v>
      </c>
      <c r="D31" s="14">
        <f t="shared" si="5"/>
        <v>0</v>
      </c>
      <c r="E31" s="14">
        <f t="shared" si="5"/>
        <v>0</v>
      </c>
      <c r="F31" s="14">
        <f t="shared" si="5"/>
        <v>2032000</v>
      </c>
      <c r="G31" s="14">
        <f t="shared" si="5"/>
        <v>0</v>
      </c>
      <c r="H31" s="14">
        <f t="shared" si="5"/>
        <v>0</v>
      </c>
      <c r="I31" s="14">
        <f t="shared" si="5"/>
        <v>0</v>
      </c>
      <c r="J31" s="14">
        <f t="shared" si="5"/>
        <v>0</v>
      </c>
    </row>
    <row r="32" spans="1:10" x14ac:dyDescent="0.25">
      <c r="A32" s="4" t="s">
        <v>42</v>
      </c>
      <c r="B32" s="33">
        <v>18</v>
      </c>
      <c r="C32" s="14">
        <f t="shared" ref="C32:J32" si="6">ROUND(C60+C88+C116,-3)</f>
        <v>0</v>
      </c>
      <c r="D32" s="14">
        <f t="shared" si="6"/>
        <v>0</v>
      </c>
      <c r="E32" s="14">
        <f t="shared" si="6"/>
        <v>0</v>
      </c>
      <c r="F32" s="14">
        <f t="shared" si="6"/>
        <v>2156000</v>
      </c>
      <c r="G32" s="14">
        <f t="shared" si="6"/>
        <v>0</v>
      </c>
      <c r="H32" s="14">
        <f t="shared" si="6"/>
        <v>0</v>
      </c>
      <c r="I32" s="14">
        <f t="shared" si="6"/>
        <v>0</v>
      </c>
      <c r="J32" s="14">
        <f t="shared" si="6"/>
        <v>0</v>
      </c>
    </row>
    <row r="33" spans="1:10" x14ac:dyDescent="0.25">
      <c r="A33" s="4" t="s">
        <v>42</v>
      </c>
      <c r="B33" s="33">
        <v>19</v>
      </c>
      <c r="C33" s="14">
        <f t="shared" ref="C33:J33" si="7">ROUND(C61+C89+C117,-3)</f>
        <v>0</v>
      </c>
      <c r="D33" s="14">
        <f t="shared" si="7"/>
        <v>0</v>
      </c>
      <c r="E33" s="14">
        <f t="shared" si="7"/>
        <v>0</v>
      </c>
      <c r="F33" s="14">
        <f t="shared" si="7"/>
        <v>2291000</v>
      </c>
      <c r="G33" s="14">
        <f t="shared" si="7"/>
        <v>0</v>
      </c>
      <c r="H33" s="14">
        <f t="shared" si="7"/>
        <v>0</v>
      </c>
      <c r="I33" s="14">
        <f t="shared" si="7"/>
        <v>0</v>
      </c>
      <c r="J33" s="14">
        <f t="shared" si="7"/>
        <v>0</v>
      </c>
    </row>
    <row r="34" spans="1:10" x14ac:dyDescent="0.25">
      <c r="A34" s="4" t="s">
        <v>42</v>
      </c>
      <c r="B34" s="33">
        <v>20</v>
      </c>
      <c r="C34" s="14">
        <f t="shared" ref="C34:J34" si="8">ROUND(C62+C90+C118,-3)</f>
        <v>0</v>
      </c>
      <c r="D34" s="14">
        <f t="shared" si="8"/>
        <v>0</v>
      </c>
      <c r="E34" s="14">
        <f t="shared" si="8"/>
        <v>0</v>
      </c>
      <c r="F34" s="14">
        <f t="shared" si="8"/>
        <v>2437000</v>
      </c>
      <c r="G34" s="14">
        <f t="shared" si="8"/>
        <v>0</v>
      </c>
      <c r="H34" s="14">
        <f t="shared" si="8"/>
        <v>0</v>
      </c>
      <c r="I34" s="14">
        <f t="shared" si="8"/>
        <v>0</v>
      </c>
      <c r="J34" s="14">
        <f t="shared" si="8"/>
        <v>0</v>
      </c>
    </row>
    <row r="35" spans="1:10" x14ac:dyDescent="0.25">
      <c r="A35" s="4" t="s">
        <v>42</v>
      </c>
      <c r="B35" s="33">
        <v>21</v>
      </c>
      <c r="C35" s="14">
        <f t="shared" ref="C35:J35" si="9">ROUND(C63+C91+C119,-3)</f>
        <v>0</v>
      </c>
      <c r="D35" s="14">
        <f t="shared" si="9"/>
        <v>0</v>
      </c>
      <c r="E35" s="14">
        <f t="shared" si="9"/>
        <v>0</v>
      </c>
      <c r="F35" s="14">
        <f t="shared" si="9"/>
        <v>2595000</v>
      </c>
      <c r="G35" s="14">
        <f t="shared" si="9"/>
        <v>0</v>
      </c>
      <c r="H35" s="14">
        <f t="shared" si="9"/>
        <v>0</v>
      </c>
      <c r="I35" s="14">
        <f t="shared" si="9"/>
        <v>0</v>
      </c>
      <c r="J35" s="14">
        <f t="shared" si="9"/>
        <v>0</v>
      </c>
    </row>
    <row r="36" spans="1:10" x14ac:dyDescent="0.25">
      <c r="A36" s="4" t="s">
        <v>42</v>
      </c>
      <c r="B36" s="33">
        <v>22</v>
      </c>
      <c r="C36" s="14">
        <f t="shared" ref="C36:J36" si="10">ROUND(C64+C92+C120,-3)</f>
        <v>0</v>
      </c>
      <c r="D36" s="14">
        <f t="shared" si="10"/>
        <v>0</v>
      </c>
      <c r="E36" s="14">
        <f t="shared" si="10"/>
        <v>0</v>
      </c>
      <c r="F36" s="14">
        <f t="shared" si="10"/>
        <v>2768000</v>
      </c>
      <c r="G36" s="14">
        <f t="shared" si="10"/>
        <v>0</v>
      </c>
      <c r="H36" s="14">
        <f t="shared" si="10"/>
        <v>0</v>
      </c>
      <c r="I36" s="14">
        <f t="shared" si="10"/>
        <v>0</v>
      </c>
      <c r="J36" s="14">
        <f t="shared" si="10"/>
        <v>0</v>
      </c>
    </row>
    <row r="37" spans="1:10" x14ac:dyDescent="0.25">
      <c r="A37" s="4" t="s">
        <v>42</v>
      </c>
      <c r="B37" s="33">
        <v>23</v>
      </c>
      <c r="C37" s="14">
        <f t="shared" ref="C37:J37" si="11">ROUND(C65+C93+C121,-3)</f>
        <v>0</v>
      </c>
      <c r="D37" s="14">
        <f t="shared" si="11"/>
        <v>0</v>
      </c>
      <c r="E37" s="14">
        <f t="shared" si="11"/>
        <v>0</v>
      </c>
      <c r="F37" s="14">
        <f t="shared" si="11"/>
        <v>2955000</v>
      </c>
      <c r="G37" s="14">
        <f t="shared" si="11"/>
        <v>0</v>
      </c>
      <c r="H37" s="14">
        <f t="shared" si="11"/>
        <v>0</v>
      </c>
      <c r="I37" s="14">
        <f t="shared" si="11"/>
        <v>0</v>
      </c>
      <c r="J37" s="14">
        <f t="shared" si="11"/>
        <v>0</v>
      </c>
    </row>
    <row r="38" spans="1:10" x14ac:dyDescent="0.25">
      <c r="A38" s="4" t="s">
        <v>42</v>
      </c>
      <c r="B38" s="33">
        <v>24</v>
      </c>
      <c r="C38" s="14">
        <f t="shared" ref="C38:J38" si="12">ROUND(C66+C94+C122,-3)</f>
        <v>0</v>
      </c>
      <c r="D38" s="14">
        <f t="shared" si="12"/>
        <v>0</v>
      </c>
      <c r="E38" s="14">
        <f t="shared" si="12"/>
        <v>0</v>
      </c>
      <c r="F38" s="14">
        <f t="shared" si="12"/>
        <v>3159000</v>
      </c>
      <c r="G38" s="14">
        <f t="shared" si="12"/>
        <v>0</v>
      </c>
      <c r="H38" s="14">
        <f t="shared" si="12"/>
        <v>0</v>
      </c>
      <c r="I38" s="14">
        <f t="shared" si="12"/>
        <v>0</v>
      </c>
      <c r="J38" s="14">
        <f t="shared" si="12"/>
        <v>0</v>
      </c>
    </row>
    <row r="39" spans="1:10" x14ac:dyDescent="0.25">
      <c r="A39" s="4" t="s">
        <v>42</v>
      </c>
      <c r="B39" s="33">
        <v>25</v>
      </c>
      <c r="C39" s="14">
        <f t="shared" ref="C39:J39" si="13">ROUND(C67+C95+C123,-3)</f>
        <v>0</v>
      </c>
      <c r="D39" s="14">
        <f t="shared" si="13"/>
        <v>0</v>
      </c>
      <c r="E39" s="14">
        <f t="shared" si="13"/>
        <v>0</v>
      </c>
      <c r="F39" s="14">
        <f t="shared" si="13"/>
        <v>3381000</v>
      </c>
      <c r="G39" s="14">
        <f t="shared" si="13"/>
        <v>0</v>
      </c>
      <c r="H39" s="14">
        <f t="shared" si="13"/>
        <v>0</v>
      </c>
      <c r="I39" s="14">
        <f t="shared" si="13"/>
        <v>0</v>
      </c>
      <c r="J39" s="14">
        <f t="shared" si="13"/>
        <v>0</v>
      </c>
    </row>
    <row r="40" spans="1:10" x14ac:dyDescent="0.25">
      <c r="A40" s="4"/>
      <c r="B40" s="33"/>
      <c r="C40" s="14"/>
      <c r="D40" s="298"/>
      <c r="E40" s="298"/>
      <c r="F40" s="298"/>
      <c r="G40" s="298"/>
      <c r="H40" s="298"/>
      <c r="I40" s="298"/>
      <c r="J40" s="298"/>
    </row>
    <row r="41" spans="1:10" ht="30" x14ac:dyDescent="0.25">
      <c r="A41" s="38" t="s">
        <v>149</v>
      </c>
      <c r="B41" s="34"/>
      <c r="C41" s="37"/>
    </row>
    <row r="42" spans="1:10" x14ac:dyDescent="0.25">
      <c r="A42" s="4" t="s">
        <v>42</v>
      </c>
      <c r="B42" s="33">
        <v>0</v>
      </c>
      <c r="C42" s="14">
        <f>0</f>
        <v>0</v>
      </c>
      <c r="D42" s="14">
        <f>0</f>
        <v>0</v>
      </c>
      <c r="E42" s="14">
        <f>0</f>
        <v>0</v>
      </c>
      <c r="F42" s="14">
        <f>0</f>
        <v>0</v>
      </c>
      <c r="G42" s="14">
        <f>0</f>
        <v>0</v>
      </c>
      <c r="H42" s="14">
        <f>0</f>
        <v>0</v>
      </c>
      <c r="I42" s="14">
        <f>0</f>
        <v>0</v>
      </c>
      <c r="J42" s="14">
        <f>0</f>
        <v>0</v>
      </c>
    </row>
    <row r="43" spans="1:10" x14ac:dyDescent="0.25">
      <c r="A43" s="4" t="s">
        <v>42</v>
      </c>
      <c r="B43" s="33">
        <v>1</v>
      </c>
      <c r="C43" s="14">
        <f>C$5+'Manual Oper Maint'!C$4</f>
        <v>0</v>
      </c>
      <c r="D43" s="14">
        <f>D$5+'Manual Oper Maint'!D$4</f>
        <v>0</v>
      </c>
      <c r="E43" s="14">
        <f>E$5+'Manual Oper Maint'!E$4</f>
        <v>0</v>
      </c>
      <c r="F43" s="14">
        <f>F$5+'Manual Oper Maint'!F$4</f>
        <v>513929.02422888717</v>
      </c>
      <c r="G43" s="14">
        <f>G$5+'Manual Oper Maint'!G$4</f>
        <v>0</v>
      </c>
      <c r="H43" s="14">
        <f>H$5+'Manual Oper Maint'!H$4</f>
        <v>0</v>
      </c>
      <c r="I43" s="14">
        <f>I$5+'Manual Oper Maint'!I$4</f>
        <v>0</v>
      </c>
      <c r="J43" s="14">
        <f>J$5+'Manual Oper Maint'!J$4</f>
        <v>0</v>
      </c>
    </row>
    <row r="44" spans="1:10" x14ac:dyDescent="0.25">
      <c r="A44" s="4" t="s">
        <v>42</v>
      </c>
      <c r="B44" s="33">
        <v>2</v>
      </c>
      <c r="C44" s="14">
        <f>C$5*((1+'User Inputs'!$E$9)^$B43)+C$4*((1+'User Inputs'!$E$12)^$B43)</f>
        <v>0</v>
      </c>
      <c r="D44" s="14">
        <f>D$5*((1+'User Inputs'!$E$9)^$B43)+D$4*((1+'User Inputs'!$E$12)^$B43)</f>
        <v>0</v>
      </c>
      <c r="E44" s="14">
        <f>E$5*((1+'User Inputs'!$E$9)^$B43)+E$4*((1+'User Inputs'!$E$12)^$B43)</f>
        <v>0</v>
      </c>
      <c r="F44" s="14">
        <f>F$5*((1+'User Inputs'!$E$9)^$B43)+F$4*((1+'User Inputs'!$E$12)^$B43)</f>
        <v>541308.27065177588</v>
      </c>
      <c r="G44" s="14">
        <f>G$5*((1+'User Inputs'!$E$9)^$B43)+G$4*((1+'User Inputs'!$E$12)^$B43)</f>
        <v>0</v>
      </c>
      <c r="H44" s="14">
        <f>H$5*((1+'User Inputs'!$E$9)^$B43)+H$4*((1+'User Inputs'!$E$12)^$B43)</f>
        <v>0</v>
      </c>
      <c r="I44" s="14">
        <f>I$5*((1+'User Inputs'!$E$9)^$B43)+I$4*((1+'User Inputs'!$E$12)^$B43)</f>
        <v>0</v>
      </c>
      <c r="J44" s="14">
        <f>J$5*((1+'User Inputs'!$E$9)^$B43)+J$4*((1+'User Inputs'!$E$12)^$B43)</f>
        <v>0</v>
      </c>
    </row>
    <row r="45" spans="1:10" x14ac:dyDescent="0.25">
      <c r="A45" s="4" t="s">
        <v>42</v>
      </c>
      <c r="B45" s="33">
        <v>3</v>
      </c>
      <c r="C45" s="14">
        <f>C$5*((1+'User Inputs'!$E$9)^$B44)+C$4*((1+'User Inputs'!$E$12)^$B44)</f>
        <v>0</v>
      </c>
      <c r="D45" s="14">
        <f>D$5*((1+'User Inputs'!$E$9)^$B44)+D$4*((1+'User Inputs'!$E$12)^$B44)</f>
        <v>0</v>
      </c>
      <c r="E45" s="14">
        <f>E$5*((1+'User Inputs'!$E$9)^$B44)+E$4*((1+'User Inputs'!$E$12)^$B44)</f>
        <v>0</v>
      </c>
      <c r="F45" s="14">
        <f>F$5*((1+'User Inputs'!$E$9)^$B44)+F$4*((1+'User Inputs'!$E$12)^$B44)</f>
        <v>570945.1685969535</v>
      </c>
      <c r="G45" s="14">
        <f>G$5*((1+'User Inputs'!$E$9)^$B44)+G$4*((1+'User Inputs'!$E$12)^$B44)</f>
        <v>0</v>
      </c>
      <c r="H45" s="14">
        <f>H$5*((1+'User Inputs'!$E$9)^$B44)+H$4*((1+'User Inputs'!$E$12)^$B44)</f>
        <v>0</v>
      </c>
      <c r="I45" s="14">
        <f>I$5*((1+'User Inputs'!$E$9)^$B44)+I$4*((1+'User Inputs'!$E$12)^$B44)</f>
        <v>0</v>
      </c>
      <c r="J45" s="14">
        <f>J$5*((1+'User Inputs'!$E$9)^$B44)+J$4*((1+'User Inputs'!$E$12)^$B44)</f>
        <v>0</v>
      </c>
    </row>
    <row r="46" spans="1:10" x14ac:dyDescent="0.25">
      <c r="A46" s="4" t="s">
        <v>42</v>
      </c>
      <c r="B46" s="33">
        <v>4</v>
      </c>
      <c r="C46" s="14">
        <f>C$5*((1+'User Inputs'!$E$9)^$B45)+C$4*((1+'User Inputs'!$E$12)^$B45)</f>
        <v>0</v>
      </c>
      <c r="D46" s="14">
        <f>D$5*((1+'User Inputs'!$E$9)^$B45)+D$4*((1+'User Inputs'!$E$12)^$B45)</f>
        <v>0</v>
      </c>
      <c r="E46" s="14">
        <f>E$5*((1+'User Inputs'!$E$9)^$B45)+E$4*((1+'User Inputs'!$E$12)^$B45)</f>
        <v>0</v>
      </c>
      <c r="F46" s="14">
        <f>F$5*((1+'User Inputs'!$E$9)^$B45)+F$4*((1+'User Inputs'!$E$12)^$B45)</f>
        <v>603055.87775424891</v>
      </c>
      <c r="G46" s="14">
        <f>G$5*((1+'User Inputs'!$E$9)^$B45)+G$4*((1+'User Inputs'!$E$12)^$B45)</f>
        <v>0</v>
      </c>
      <c r="H46" s="14">
        <f>H$5*((1+'User Inputs'!$E$9)^$B45)+H$4*((1+'User Inputs'!$E$12)^$B45)</f>
        <v>0</v>
      </c>
      <c r="I46" s="14">
        <f>I$5*((1+'User Inputs'!$E$9)^$B45)+I$4*((1+'User Inputs'!$E$12)^$B45)</f>
        <v>0</v>
      </c>
      <c r="J46" s="14">
        <f>J$5*((1+'User Inputs'!$E$9)^$B45)+J$4*((1+'User Inputs'!$E$12)^$B45)</f>
        <v>0</v>
      </c>
    </row>
    <row r="47" spans="1:10" x14ac:dyDescent="0.25">
      <c r="A47" s="4" t="s">
        <v>42</v>
      </c>
      <c r="B47" s="33">
        <v>5</v>
      </c>
      <c r="C47" s="14">
        <f>C$5*((1+'User Inputs'!$E$9)^$B46)+C$4*((1+'User Inputs'!$E$12)^$B46)</f>
        <v>0</v>
      </c>
      <c r="D47" s="14">
        <f>D$5*((1+'User Inputs'!$E$9)^$B46)+D$4*((1+'User Inputs'!$E$12)^$B46)</f>
        <v>0</v>
      </c>
      <c r="E47" s="14">
        <f>E$5*((1+'User Inputs'!$E$9)^$B46)+E$4*((1+'User Inputs'!$E$12)^$B46)</f>
        <v>0</v>
      </c>
      <c r="F47" s="14">
        <f>F$5*((1+'User Inputs'!$E$9)^$B46)+F$4*((1+'User Inputs'!$E$12)^$B46)</f>
        <v>637877.98167322576</v>
      </c>
      <c r="G47" s="14">
        <f>G$5*((1+'User Inputs'!$E$9)^$B46)+G$4*((1+'User Inputs'!$E$12)^$B46)</f>
        <v>0</v>
      </c>
      <c r="H47" s="14">
        <f>H$5*((1+'User Inputs'!$E$9)^$B46)+H$4*((1+'User Inputs'!$E$12)^$B46)</f>
        <v>0</v>
      </c>
      <c r="I47" s="14">
        <f>I$5*((1+'User Inputs'!$E$9)^$B46)+I$4*((1+'User Inputs'!$E$12)^$B46)</f>
        <v>0</v>
      </c>
      <c r="J47" s="14">
        <f>J$5*((1+'User Inputs'!$E$9)^$B46)+J$4*((1+'User Inputs'!$E$12)^$B46)</f>
        <v>0</v>
      </c>
    </row>
    <row r="48" spans="1:10" x14ac:dyDescent="0.25">
      <c r="A48" s="4" t="s">
        <v>42</v>
      </c>
      <c r="B48" s="33">
        <v>6</v>
      </c>
      <c r="C48" s="14">
        <f>C$5*((1+'User Inputs'!$E$9)^$B47)+C$4*((1+'User Inputs'!$E$12)^$B47)</f>
        <v>0</v>
      </c>
      <c r="D48" s="14">
        <f>D$5*((1+'User Inputs'!$E$9)^$B47)+D$4*((1+'User Inputs'!$E$12)^$B47)</f>
        <v>0</v>
      </c>
      <c r="E48" s="14">
        <f>E$5*((1+'User Inputs'!$E$9)^$B47)+E$4*((1+'User Inputs'!$E$12)^$B47)</f>
        <v>0</v>
      </c>
      <c r="F48" s="14">
        <f>F$5*((1+'User Inputs'!$E$9)^$B47)+F$4*((1+'User Inputs'!$E$12)^$B47)</f>
        <v>675672.62630697142</v>
      </c>
      <c r="G48" s="14">
        <f>G$5*((1+'User Inputs'!$E$9)^$B47)+G$4*((1+'User Inputs'!$E$12)^$B47)</f>
        <v>0</v>
      </c>
      <c r="H48" s="14">
        <f>H$5*((1+'User Inputs'!$E$9)^$B47)+H$4*((1+'User Inputs'!$E$12)^$B47)</f>
        <v>0</v>
      </c>
      <c r="I48" s="14">
        <f>I$5*((1+'User Inputs'!$E$9)^$B47)+I$4*((1+'User Inputs'!$E$12)^$B47)</f>
        <v>0</v>
      </c>
      <c r="J48" s="14">
        <f>J$5*((1+'User Inputs'!$E$9)^$B47)+J$4*((1+'User Inputs'!$E$12)^$B47)</f>
        <v>0</v>
      </c>
    </row>
    <row r="49" spans="1:10" x14ac:dyDescent="0.25">
      <c r="A49" s="4" t="s">
        <v>42</v>
      </c>
      <c r="B49" s="33">
        <v>7</v>
      </c>
      <c r="C49" s="14">
        <f>C$5*((1+'User Inputs'!$E$9)^$B48)+C$4*((1+'User Inputs'!$E$12)^$B48)</f>
        <v>0</v>
      </c>
      <c r="D49" s="14">
        <f>D$5*((1+'User Inputs'!$E$9)^$B48)+D$4*((1+'User Inputs'!$E$12)^$B48)</f>
        <v>0</v>
      </c>
      <c r="E49" s="14">
        <f>E$5*((1+'User Inputs'!$E$9)^$B48)+E$4*((1+'User Inputs'!$E$12)^$B48)</f>
        <v>0</v>
      </c>
      <c r="F49" s="14">
        <f>F$5*((1+'User Inputs'!$E$9)^$B48)+F$4*((1+'User Inputs'!$E$12)^$B48)</f>
        <v>716726.87233342021</v>
      </c>
      <c r="G49" s="14">
        <f>G$5*((1+'User Inputs'!$E$9)^$B48)+G$4*((1+'User Inputs'!$E$12)^$B48)</f>
        <v>0</v>
      </c>
      <c r="H49" s="14">
        <f>H$5*((1+'User Inputs'!$E$9)^$B48)+H$4*((1+'User Inputs'!$E$12)^$B48)</f>
        <v>0</v>
      </c>
      <c r="I49" s="14">
        <f>I$5*((1+'User Inputs'!$E$9)^$B48)+I$4*((1+'User Inputs'!$E$12)^$B48)</f>
        <v>0</v>
      </c>
      <c r="J49" s="14">
        <f>J$5*((1+'User Inputs'!$E$9)^$B48)+J$4*((1+'User Inputs'!$E$12)^$B48)</f>
        <v>0</v>
      </c>
    </row>
    <row r="50" spans="1:10" x14ac:dyDescent="0.25">
      <c r="A50" s="4" t="s">
        <v>42</v>
      </c>
      <c r="B50" s="33">
        <v>8</v>
      </c>
      <c r="C50" s="14">
        <f>C$5*((1+'User Inputs'!$E$9)^$B49)+C$4*((1+'User Inputs'!$E$12)^$B49)</f>
        <v>0</v>
      </c>
      <c r="D50" s="14">
        <f>D$5*((1+'User Inputs'!$E$9)^$B49)+D$4*((1+'User Inputs'!$E$12)^$B49)</f>
        <v>0</v>
      </c>
      <c r="E50" s="14">
        <f>E$5*((1+'User Inputs'!$E$9)^$B49)+E$4*((1+'User Inputs'!$E$12)^$B49)</f>
        <v>0</v>
      </c>
      <c r="F50" s="14">
        <f>F$5*((1+'User Inputs'!$E$9)^$B49)+F$4*((1+'User Inputs'!$E$12)^$B49)</f>
        <v>761356.28263042867</v>
      </c>
      <c r="G50" s="14">
        <f>G$5*((1+'User Inputs'!$E$9)^$B49)+G$4*((1+'User Inputs'!$E$12)^$B49)</f>
        <v>0</v>
      </c>
      <c r="H50" s="14">
        <f>H$5*((1+'User Inputs'!$E$9)^$B49)+H$4*((1+'User Inputs'!$E$12)^$B49)</f>
        <v>0</v>
      </c>
      <c r="I50" s="14">
        <f>I$5*((1+'User Inputs'!$E$9)^$B49)+I$4*((1+'User Inputs'!$E$12)^$B49)</f>
        <v>0</v>
      </c>
      <c r="J50" s="14">
        <f>J$5*((1+'User Inputs'!$E$9)^$B49)+J$4*((1+'User Inputs'!$E$12)^$B49)</f>
        <v>0</v>
      </c>
    </row>
    <row r="51" spans="1:10" x14ac:dyDescent="0.25">
      <c r="A51" s="4" t="s">
        <v>42</v>
      </c>
      <c r="B51" s="33">
        <v>9</v>
      </c>
      <c r="C51" s="14">
        <f>C$5*((1+'User Inputs'!$E$9)^$B50)+C$4*((1+'User Inputs'!$E$12)^$B50)</f>
        <v>0</v>
      </c>
      <c r="D51" s="14">
        <f>D$5*((1+'User Inputs'!$E$9)^$B50)+D$4*((1+'User Inputs'!$E$12)^$B50)</f>
        <v>0</v>
      </c>
      <c r="E51" s="14">
        <f>E$5*((1+'User Inputs'!$E$9)^$B50)+E$4*((1+'User Inputs'!$E$12)^$B50)</f>
        <v>0</v>
      </c>
      <c r="F51" s="14">
        <f>F$5*((1+'User Inputs'!$E$9)^$B50)+F$4*((1+'User Inputs'!$E$12)^$B50)</f>
        <v>809907.76841841138</v>
      </c>
      <c r="G51" s="14">
        <f>G$5*((1+'User Inputs'!$E$9)^$B50)+G$4*((1+'User Inputs'!$E$12)^$B50)</f>
        <v>0</v>
      </c>
      <c r="H51" s="14">
        <f>H$5*((1+'User Inputs'!$E$9)^$B50)+H$4*((1+'User Inputs'!$E$12)^$B50)</f>
        <v>0</v>
      </c>
      <c r="I51" s="14">
        <f>I$5*((1+'User Inputs'!$E$9)^$B50)+I$4*((1+'User Inputs'!$E$12)^$B50)</f>
        <v>0</v>
      </c>
      <c r="J51" s="14">
        <f>J$5*((1+'User Inputs'!$E$9)^$B50)+J$4*((1+'User Inputs'!$E$12)^$B50)</f>
        <v>0</v>
      </c>
    </row>
    <row r="52" spans="1:10" x14ac:dyDescent="0.25">
      <c r="A52" s="4" t="s">
        <v>42</v>
      </c>
      <c r="B52" s="33">
        <v>10</v>
      </c>
      <c r="C52" s="14">
        <f>C$5*((1+'User Inputs'!$E$9)^$B51)+C$4*((1+'User Inputs'!$E$12)^$B51)</f>
        <v>0</v>
      </c>
      <c r="D52" s="14">
        <f>D$5*((1+'User Inputs'!$E$9)^$B51)+D$4*((1+'User Inputs'!$E$12)^$B51)</f>
        <v>0</v>
      </c>
      <c r="E52" s="14">
        <f>E$5*((1+'User Inputs'!$E$9)^$B51)+E$4*((1+'User Inputs'!$E$12)^$B51)</f>
        <v>0</v>
      </c>
      <c r="F52" s="14">
        <f>F$5*((1+'User Inputs'!$E$9)^$B51)+F$4*((1+'User Inputs'!$E$12)^$B51)</f>
        <v>862762.71993569122</v>
      </c>
      <c r="G52" s="14">
        <f>G$5*((1+'User Inputs'!$E$9)^$B51)+G$4*((1+'User Inputs'!$E$12)^$B51)</f>
        <v>0</v>
      </c>
      <c r="H52" s="14">
        <f>H$5*((1+'User Inputs'!$E$9)^$B51)+H$4*((1+'User Inputs'!$E$12)^$B51)</f>
        <v>0</v>
      </c>
      <c r="I52" s="14">
        <f>I$5*((1+'User Inputs'!$E$9)^$B51)+I$4*((1+'User Inputs'!$E$12)^$B51)</f>
        <v>0</v>
      </c>
      <c r="J52" s="14">
        <f>J$5*((1+'User Inputs'!$E$9)^$B51)+J$4*((1+'User Inputs'!$E$12)^$B51)</f>
        <v>0</v>
      </c>
    </row>
    <row r="53" spans="1:10" x14ac:dyDescent="0.25">
      <c r="A53" s="4" t="s">
        <v>42</v>
      </c>
      <c r="B53" s="33">
        <v>11</v>
      </c>
      <c r="C53" s="14">
        <f>C$5*((1+'User Inputs'!$E$9)^$B52)+C$4*((1+'User Inputs'!$E$12)^$B52)</f>
        <v>0</v>
      </c>
      <c r="D53" s="14">
        <f>D$5*((1+'User Inputs'!$E$9)^$B52)+D$4*((1+'User Inputs'!$E$12)^$B52)</f>
        <v>0</v>
      </c>
      <c r="E53" s="14">
        <f>E$5*((1+'User Inputs'!$E$9)^$B52)+E$4*((1+'User Inputs'!$E$12)^$B52)</f>
        <v>0</v>
      </c>
      <c r="F53" s="14">
        <f>F$5*((1+'User Inputs'!$E$9)^$B52)+F$4*((1+'User Inputs'!$E$12)^$B52)</f>
        <v>920340.45009820792</v>
      </c>
      <c r="G53" s="14">
        <f>G$5*((1+'User Inputs'!$E$9)^$B52)+G$4*((1+'User Inputs'!$E$12)^$B52)</f>
        <v>0</v>
      </c>
      <c r="H53" s="14">
        <f>H$5*((1+'User Inputs'!$E$9)^$B52)+H$4*((1+'User Inputs'!$E$12)^$B52)</f>
        <v>0</v>
      </c>
      <c r="I53" s="14">
        <f>I$5*((1+'User Inputs'!$E$9)^$B52)+I$4*((1+'User Inputs'!$E$12)^$B52)</f>
        <v>0</v>
      </c>
      <c r="J53" s="14">
        <f>J$5*((1+'User Inputs'!$E$9)^$B52)+J$4*((1+'User Inputs'!$E$12)^$B52)</f>
        <v>0</v>
      </c>
    </row>
    <row r="54" spans="1:10" x14ac:dyDescent="0.25">
      <c r="A54" s="4" t="s">
        <v>42</v>
      </c>
      <c r="B54" s="33">
        <v>12</v>
      </c>
      <c r="C54" s="14">
        <f>C$5*((1+'User Inputs'!$E$9)^$B53)+C$4*((1+'User Inputs'!$E$12)^$B53)</f>
        <v>0</v>
      </c>
      <c r="D54" s="14">
        <f>D$5*((1+'User Inputs'!$E$9)^$B53)+D$4*((1+'User Inputs'!$E$12)^$B53)</f>
        <v>0</v>
      </c>
      <c r="E54" s="14">
        <f>E$5*((1+'User Inputs'!$E$9)^$B53)+E$4*((1+'User Inputs'!$E$12)^$B53)</f>
        <v>0</v>
      </c>
      <c r="F54" s="14">
        <f>F$5*((1+'User Inputs'!$E$9)^$B53)+F$4*((1+'User Inputs'!$E$12)^$B53)</f>
        <v>983101.982440355</v>
      </c>
      <c r="G54" s="14">
        <f>G$5*((1+'User Inputs'!$E$9)^$B53)+G$4*((1+'User Inputs'!$E$12)^$B53)</f>
        <v>0</v>
      </c>
      <c r="H54" s="14">
        <f>H$5*((1+'User Inputs'!$E$9)^$B53)+H$4*((1+'User Inputs'!$E$12)^$B53)</f>
        <v>0</v>
      </c>
      <c r="I54" s="14">
        <f>I$5*((1+'User Inputs'!$E$9)^$B53)+I$4*((1+'User Inputs'!$E$12)^$B53)</f>
        <v>0</v>
      </c>
      <c r="J54" s="14">
        <f>J$5*((1+'User Inputs'!$E$9)^$B53)+J$4*((1+'User Inputs'!$E$12)^$B53)</f>
        <v>0</v>
      </c>
    </row>
    <row r="55" spans="1:10" x14ac:dyDescent="0.25">
      <c r="A55" s="4" t="s">
        <v>42</v>
      </c>
      <c r="B55" s="33">
        <v>13</v>
      </c>
      <c r="C55" s="14">
        <f>C$5*((1+'User Inputs'!$E$9)^$B54)+C$4*((1+'User Inputs'!$E$12)^$B54)</f>
        <v>0</v>
      </c>
      <c r="D55" s="14">
        <f>D$5*((1+'User Inputs'!$E$9)^$B54)+D$4*((1+'User Inputs'!$E$12)^$B54)</f>
        <v>0</v>
      </c>
      <c r="E55" s="14">
        <f>E$5*((1+'User Inputs'!$E$9)^$B54)+E$4*((1+'User Inputs'!$E$12)^$B54)</f>
        <v>0</v>
      </c>
      <c r="F55" s="14">
        <f>F$5*((1+'User Inputs'!$E$9)^$B54)+F$4*((1+'User Inputs'!$E$12)^$B54)</f>
        <v>1051554.2177633634</v>
      </c>
      <c r="G55" s="14">
        <f>G$5*((1+'User Inputs'!$E$9)^$B54)+G$4*((1+'User Inputs'!$E$12)^$B54)</f>
        <v>0</v>
      </c>
      <c r="H55" s="14">
        <f>H$5*((1+'User Inputs'!$E$9)^$B54)+H$4*((1+'User Inputs'!$E$12)^$B54)</f>
        <v>0</v>
      </c>
      <c r="I55" s="14">
        <f>I$5*((1+'User Inputs'!$E$9)^$B54)+I$4*((1+'User Inputs'!$E$12)^$B54)</f>
        <v>0</v>
      </c>
      <c r="J55" s="14">
        <f>J$5*((1+'User Inputs'!$E$9)^$B54)+J$4*((1+'User Inputs'!$E$12)^$B54)</f>
        <v>0</v>
      </c>
    </row>
    <row r="56" spans="1:10" x14ac:dyDescent="0.25">
      <c r="A56" s="4" t="s">
        <v>42</v>
      </c>
      <c r="B56" s="33">
        <v>14</v>
      </c>
      <c r="C56" s="14">
        <f>C$5*((1+'User Inputs'!$E$9)^$B55)+C$4*((1+'User Inputs'!$E$12)^$B55)</f>
        <v>0</v>
      </c>
      <c r="D56" s="14">
        <f>D$5*((1+'User Inputs'!$E$9)^$B55)+D$4*((1+'User Inputs'!$E$12)^$B55)</f>
        <v>0</v>
      </c>
      <c r="E56" s="14">
        <f>E$5*((1+'User Inputs'!$E$9)^$B55)+E$4*((1+'User Inputs'!$E$12)^$B55)</f>
        <v>0</v>
      </c>
      <c r="F56" s="14">
        <f>F$5*((1+'User Inputs'!$E$9)^$B55)+F$4*((1+'User Inputs'!$E$12)^$B55)</f>
        <v>1126254.5173602521</v>
      </c>
      <c r="G56" s="14">
        <f>G$5*((1+'User Inputs'!$E$9)^$B55)+G$4*((1+'User Inputs'!$E$12)^$B55)</f>
        <v>0</v>
      </c>
      <c r="H56" s="14">
        <f>H$5*((1+'User Inputs'!$E$9)^$B55)+H$4*((1+'User Inputs'!$E$12)^$B55)</f>
        <v>0</v>
      </c>
      <c r="I56" s="14">
        <f>I$5*((1+'User Inputs'!$E$9)^$B55)+I$4*((1+'User Inputs'!$E$12)^$B55)</f>
        <v>0</v>
      </c>
      <c r="J56" s="14">
        <f>J$5*((1+'User Inputs'!$E$9)^$B55)+J$4*((1+'User Inputs'!$E$12)^$B55)</f>
        <v>0</v>
      </c>
    </row>
    <row r="57" spans="1:10" x14ac:dyDescent="0.25">
      <c r="A57" s="4" t="s">
        <v>42</v>
      </c>
      <c r="B57" s="33">
        <v>15</v>
      </c>
      <c r="C57" s="14">
        <f>C$5*((1+'User Inputs'!$E$9)^$B56)+C$4*((1+'User Inputs'!$E$12)^$B56)</f>
        <v>0</v>
      </c>
      <c r="D57" s="14">
        <f>D$5*((1+'User Inputs'!$E$9)^$B56)+D$4*((1+'User Inputs'!$E$12)^$B56)</f>
        <v>0</v>
      </c>
      <c r="E57" s="14">
        <f>E$5*((1+'User Inputs'!$E$9)^$B56)+E$4*((1+'User Inputs'!$E$12)^$B56)</f>
        <v>0</v>
      </c>
      <c r="F57" s="14">
        <f>F$5*((1+'User Inputs'!$E$9)^$B56)+F$4*((1+'User Inputs'!$E$12)^$B56)</f>
        <v>1207815.744473241</v>
      </c>
      <c r="G57" s="14">
        <f>G$5*((1+'User Inputs'!$E$9)^$B56)+G$4*((1+'User Inputs'!$E$12)^$B56)</f>
        <v>0</v>
      </c>
      <c r="H57" s="14">
        <f>H$5*((1+'User Inputs'!$E$9)^$B56)+H$4*((1+'User Inputs'!$E$12)^$B56)</f>
        <v>0</v>
      </c>
      <c r="I57" s="14">
        <f>I$5*((1+'User Inputs'!$E$9)^$B56)+I$4*((1+'User Inputs'!$E$12)^$B56)</f>
        <v>0</v>
      </c>
      <c r="J57" s="14">
        <f>J$5*((1+'User Inputs'!$E$9)^$B56)+J$4*((1+'User Inputs'!$E$12)^$B56)</f>
        <v>0</v>
      </c>
    </row>
    <row r="58" spans="1:10" x14ac:dyDescent="0.25">
      <c r="A58" s="4" t="s">
        <v>42</v>
      </c>
      <c r="B58" s="33">
        <v>16</v>
      </c>
      <c r="C58" s="14">
        <f>C$5*((1+'User Inputs'!$E$9)^$B57)+C$4*((1+'User Inputs'!$E$12)^$B57)</f>
        <v>0</v>
      </c>
      <c r="D58" s="14">
        <f>D$5*((1+'User Inputs'!$E$9)^$B57)+D$4*((1+'User Inputs'!$E$12)^$B57)</f>
        <v>0</v>
      </c>
      <c r="E58" s="14">
        <f>E$5*((1+'User Inputs'!$E$9)^$B57)+E$4*((1+'User Inputs'!$E$12)^$B57)</f>
        <v>0</v>
      </c>
      <c r="F58" s="14">
        <f>F$5*((1+'User Inputs'!$E$9)^$B57)+F$4*((1+'User Inputs'!$E$12)^$B57)</f>
        <v>1296911.8098050677</v>
      </c>
      <c r="G58" s="14">
        <f>G$5*((1+'User Inputs'!$E$9)^$B57)+G$4*((1+'User Inputs'!$E$12)^$B57)</f>
        <v>0</v>
      </c>
      <c r="H58" s="14">
        <f>H$5*((1+'User Inputs'!$E$9)^$B57)+H$4*((1+'User Inputs'!$E$12)^$B57)</f>
        <v>0</v>
      </c>
      <c r="I58" s="14">
        <f>I$5*((1+'User Inputs'!$E$9)^$B57)+I$4*((1+'User Inputs'!$E$12)^$B57)</f>
        <v>0</v>
      </c>
      <c r="J58" s="14">
        <f>J$5*((1+'User Inputs'!$E$9)^$B57)+J$4*((1+'User Inputs'!$E$12)^$B57)</f>
        <v>0</v>
      </c>
    </row>
    <row r="59" spans="1:10" x14ac:dyDescent="0.25">
      <c r="A59" s="4" t="s">
        <v>42</v>
      </c>
      <c r="B59" s="33">
        <v>17</v>
      </c>
      <c r="C59" s="14">
        <f>C$5*((1+'User Inputs'!$E$9)^$B58)+C$4*((1+'User Inputs'!$E$12)^$B58)</f>
        <v>0</v>
      </c>
      <c r="D59" s="14">
        <f>D$5*((1+'User Inputs'!$E$9)^$B58)+D$4*((1+'User Inputs'!$E$12)^$B58)</f>
        <v>0</v>
      </c>
      <c r="E59" s="14">
        <f>E$5*((1+'User Inputs'!$E$9)^$B58)+E$4*((1+'User Inputs'!$E$12)^$B58)</f>
        <v>0</v>
      </c>
      <c r="F59" s="14">
        <f>F$5*((1+'User Inputs'!$E$9)^$B58)+F$4*((1+'User Inputs'!$E$12)^$B58)</f>
        <v>1394283.7714877673</v>
      </c>
      <c r="G59" s="14">
        <f>G$5*((1+'User Inputs'!$E$9)^$B58)+G$4*((1+'User Inputs'!$E$12)^$B58)</f>
        <v>0</v>
      </c>
      <c r="H59" s="14">
        <f>H$5*((1+'User Inputs'!$E$9)^$B58)+H$4*((1+'User Inputs'!$E$12)^$B58)</f>
        <v>0</v>
      </c>
      <c r="I59" s="14">
        <f>I$5*((1+'User Inputs'!$E$9)^$B58)+I$4*((1+'User Inputs'!$E$12)^$B58)</f>
        <v>0</v>
      </c>
      <c r="J59" s="14">
        <f>J$5*((1+'User Inputs'!$E$9)^$B58)+J$4*((1+'User Inputs'!$E$12)^$B58)</f>
        <v>0</v>
      </c>
    </row>
    <row r="60" spans="1:10" x14ac:dyDescent="0.25">
      <c r="A60" s="4" t="s">
        <v>42</v>
      </c>
      <c r="B60" s="33">
        <v>18</v>
      </c>
      <c r="C60" s="14">
        <f>C$5*((1+'User Inputs'!$E$9)^$B59)+C$4*((1+'User Inputs'!$E$12)^$B59)</f>
        <v>0</v>
      </c>
      <c r="D60" s="14">
        <f>D$5*((1+'User Inputs'!$E$9)^$B59)+D$4*((1+'User Inputs'!$E$12)^$B59)</f>
        <v>0</v>
      </c>
      <c r="E60" s="14">
        <f>E$5*((1+'User Inputs'!$E$9)^$B59)+E$4*((1+'User Inputs'!$E$12)^$B59)</f>
        <v>0</v>
      </c>
      <c r="F60" s="14">
        <f>F$5*((1+'User Inputs'!$E$9)^$B59)+F$4*((1+'User Inputs'!$E$12)^$B59)</f>
        <v>1500746.5449527809</v>
      </c>
      <c r="G60" s="14">
        <f>G$5*((1+'User Inputs'!$E$9)^$B59)+G$4*((1+'User Inputs'!$E$12)^$B59)</f>
        <v>0</v>
      </c>
      <c r="H60" s="14">
        <f>H$5*((1+'User Inputs'!$E$9)^$B59)+H$4*((1+'User Inputs'!$E$12)^$B59)</f>
        <v>0</v>
      </c>
      <c r="I60" s="14">
        <f>I$5*((1+'User Inputs'!$E$9)^$B59)+I$4*((1+'User Inputs'!$E$12)^$B59)</f>
        <v>0</v>
      </c>
      <c r="J60" s="14">
        <f>J$5*((1+'User Inputs'!$E$9)^$B59)+J$4*((1+'User Inputs'!$E$12)^$B59)</f>
        <v>0</v>
      </c>
    </row>
    <row r="61" spans="1:10" x14ac:dyDescent="0.25">
      <c r="A61" s="4" t="s">
        <v>42</v>
      </c>
      <c r="B61" s="33">
        <v>19</v>
      </c>
      <c r="C61" s="14">
        <f>C$5*((1+'User Inputs'!$E$9)^$B60)+C$4*((1+'User Inputs'!$E$12)^$B60)</f>
        <v>0</v>
      </c>
      <c r="D61" s="14">
        <f>D$5*((1+'User Inputs'!$E$9)^$B60)+D$4*((1+'User Inputs'!$E$12)^$B60)</f>
        <v>0</v>
      </c>
      <c r="E61" s="14">
        <f>E$5*((1+'User Inputs'!$E$9)^$B60)+E$4*((1+'User Inputs'!$E$12)^$B60)</f>
        <v>0</v>
      </c>
      <c r="F61" s="14">
        <f>F$5*((1+'User Inputs'!$E$9)^$B60)+F$4*((1+'User Inputs'!$E$12)^$B60)</f>
        <v>1617196.2836906202</v>
      </c>
      <c r="G61" s="14">
        <f>G$5*((1+'User Inputs'!$E$9)^$B60)+G$4*((1+'User Inputs'!$E$12)^$B60)</f>
        <v>0</v>
      </c>
      <c r="H61" s="14">
        <f>H$5*((1+'User Inputs'!$E$9)^$B60)+H$4*((1+'User Inputs'!$E$12)^$B60)</f>
        <v>0</v>
      </c>
      <c r="I61" s="14">
        <f>I$5*((1+'User Inputs'!$E$9)^$B60)+I$4*((1+'User Inputs'!$E$12)^$B60)</f>
        <v>0</v>
      </c>
      <c r="J61" s="14">
        <f>J$5*((1+'User Inputs'!$E$9)^$B60)+J$4*((1+'User Inputs'!$E$12)^$B60)</f>
        <v>0</v>
      </c>
    </row>
    <row r="62" spans="1:10" x14ac:dyDescent="0.25">
      <c r="A62" s="4" t="s">
        <v>42</v>
      </c>
      <c r="B62" s="33">
        <v>20</v>
      </c>
      <c r="C62" s="14">
        <f>C$5*((1+'User Inputs'!$E$9)^$B61)+C$4*((1+'User Inputs'!$E$12)^$B61)</f>
        <v>0</v>
      </c>
      <c r="D62" s="14">
        <f>D$5*((1+'User Inputs'!$E$9)^$B61)+D$4*((1+'User Inputs'!$E$12)^$B61)</f>
        <v>0</v>
      </c>
      <c r="E62" s="14">
        <f>E$5*((1+'User Inputs'!$E$9)^$B61)+E$4*((1+'User Inputs'!$E$12)^$B61)</f>
        <v>0</v>
      </c>
      <c r="F62" s="14">
        <f>F$5*((1+'User Inputs'!$E$9)^$B61)+F$4*((1+'User Inputs'!$E$12)^$B61)</f>
        <v>1744618.497987095</v>
      </c>
      <c r="G62" s="14">
        <f>G$5*((1+'User Inputs'!$E$9)^$B61)+G$4*((1+'User Inputs'!$E$12)^$B61)</f>
        <v>0</v>
      </c>
      <c r="H62" s="14">
        <f>H$5*((1+'User Inputs'!$E$9)^$B61)+H$4*((1+'User Inputs'!$E$12)^$B61)</f>
        <v>0</v>
      </c>
      <c r="I62" s="14">
        <f>I$5*((1+'User Inputs'!$E$9)^$B61)+I$4*((1+'User Inputs'!$E$12)^$B61)</f>
        <v>0</v>
      </c>
      <c r="J62" s="14">
        <f>J$5*((1+'User Inputs'!$E$9)^$B61)+J$4*((1+'User Inputs'!$E$12)^$B61)</f>
        <v>0</v>
      </c>
    </row>
    <row r="63" spans="1:10" x14ac:dyDescent="0.25">
      <c r="A63" s="4" t="s">
        <v>42</v>
      </c>
      <c r="B63" s="33">
        <v>21</v>
      </c>
      <c r="C63" s="14">
        <f>C$5*((1+'User Inputs'!$E$9)^$B62)+C$4*((1+'User Inputs'!$E$12)^$B62)</f>
        <v>0</v>
      </c>
      <c r="D63" s="14">
        <f>D$5*((1+'User Inputs'!$E$9)^$B62)+D$4*((1+'User Inputs'!$E$12)^$B62)</f>
        <v>0</v>
      </c>
      <c r="E63" s="14">
        <f>E$5*((1+'User Inputs'!$E$9)^$B62)+E$4*((1+'User Inputs'!$E$12)^$B62)</f>
        <v>0</v>
      </c>
      <c r="F63" s="14">
        <f>F$5*((1+'User Inputs'!$E$9)^$B62)+F$4*((1+'User Inputs'!$E$12)^$B62)</f>
        <v>1884096.9854317652</v>
      </c>
      <c r="G63" s="14">
        <f>G$5*((1+'User Inputs'!$E$9)^$B62)+G$4*((1+'User Inputs'!$E$12)^$B62)</f>
        <v>0</v>
      </c>
      <c r="H63" s="14">
        <f>H$5*((1+'User Inputs'!$E$9)^$B62)+H$4*((1+'User Inputs'!$E$12)^$B62)</f>
        <v>0</v>
      </c>
      <c r="I63" s="14">
        <f>I$5*((1+'User Inputs'!$E$9)^$B62)+I$4*((1+'User Inputs'!$E$12)^$B62)</f>
        <v>0</v>
      </c>
      <c r="J63" s="14">
        <f>J$5*((1+'User Inputs'!$E$9)^$B62)+J$4*((1+'User Inputs'!$E$12)^$B62)</f>
        <v>0</v>
      </c>
    </row>
    <row r="64" spans="1:10" x14ac:dyDescent="0.25">
      <c r="A64" s="4" t="s">
        <v>42</v>
      </c>
      <c r="B64" s="33">
        <v>22</v>
      </c>
      <c r="C64" s="14">
        <f>C$5*((1+'User Inputs'!$E$9)^$B63)+C$4*((1+'User Inputs'!$E$12)^$B63)</f>
        <v>0</v>
      </c>
      <c r="D64" s="14">
        <f>D$5*((1+'User Inputs'!$E$9)^$B63)+D$4*((1+'User Inputs'!$E$12)^$B63)</f>
        <v>0</v>
      </c>
      <c r="E64" s="14">
        <f>E$5*((1+'User Inputs'!$E$9)^$B63)+E$4*((1+'User Inputs'!$E$12)^$B63)</f>
        <v>0</v>
      </c>
      <c r="F64" s="14">
        <f>F$5*((1+'User Inputs'!$E$9)^$B63)+F$4*((1+'User Inputs'!$E$12)^$B63)</f>
        <v>2036823.6543738218</v>
      </c>
      <c r="G64" s="14">
        <f>G$5*((1+'User Inputs'!$E$9)^$B63)+G$4*((1+'User Inputs'!$E$12)^$B63)</f>
        <v>0</v>
      </c>
      <c r="H64" s="14">
        <f>H$5*((1+'User Inputs'!$E$9)^$B63)+H$4*((1+'User Inputs'!$E$12)^$B63)</f>
        <v>0</v>
      </c>
      <c r="I64" s="14">
        <f>I$5*((1+'User Inputs'!$E$9)^$B63)+I$4*((1+'User Inputs'!$E$12)^$B63)</f>
        <v>0</v>
      </c>
      <c r="J64" s="14">
        <f>J$5*((1+'User Inputs'!$E$9)^$B63)+J$4*((1+'User Inputs'!$E$12)^$B63)</f>
        <v>0</v>
      </c>
    </row>
    <row r="65" spans="1:10" x14ac:dyDescent="0.25">
      <c r="A65" s="4" t="s">
        <v>42</v>
      </c>
      <c r="B65" s="33">
        <v>23</v>
      </c>
      <c r="C65" s="14">
        <f>C$5*((1+'User Inputs'!$E$9)^$B64)+C$4*((1+'User Inputs'!$E$12)^$B64)</f>
        <v>0</v>
      </c>
      <c r="D65" s="14">
        <f>D$5*((1+'User Inputs'!$E$9)^$B64)+D$4*((1+'User Inputs'!$E$12)^$B64)</f>
        <v>0</v>
      </c>
      <c r="E65" s="14">
        <f>E$5*((1+'User Inputs'!$E$9)^$B64)+E$4*((1+'User Inputs'!$E$12)^$B64)</f>
        <v>0</v>
      </c>
      <c r="F65" s="14">
        <f>F$5*((1+'User Inputs'!$E$9)^$B64)+F$4*((1+'User Inputs'!$E$12)^$B64)</f>
        <v>2204109.3296180619</v>
      </c>
      <c r="G65" s="14">
        <f>G$5*((1+'User Inputs'!$E$9)^$B64)+G$4*((1+'User Inputs'!$E$12)^$B64)</f>
        <v>0</v>
      </c>
      <c r="H65" s="14">
        <f>H$5*((1+'User Inputs'!$E$9)^$B64)+H$4*((1+'User Inputs'!$E$12)^$B64)</f>
        <v>0</v>
      </c>
      <c r="I65" s="14">
        <f>I$5*((1+'User Inputs'!$E$9)^$B64)+I$4*((1+'User Inputs'!$E$12)^$B64)</f>
        <v>0</v>
      </c>
      <c r="J65" s="14">
        <f>J$5*((1+'User Inputs'!$E$9)^$B64)+J$4*((1+'User Inputs'!$E$12)^$B64)</f>
        <v>0</v>
      </c>
    </row>
    <row r="66" spans="1:10" x14ac:dyDescent="0.25">
      <c r="A66" s="4" t="s">
        <v>42</v>
      </c>
      <c r="B66" s="33">
        <v>24</v>
      </c>
      <c r="C66" s="14">
        <f>C$5*((1+'User Inputs'!$E$9)^$B65)+C$4*((1+'User Inputs'!$E$12)^$B65)</f>
        <v>0</v>
      </c>
      <c r="D66" s="14">
        <f>D$5*((1+'User Inputs'!$E$9)^$B65)+D$4*((1+'User Inputs'!$E$12)^$B65)</f>
        <v>0</v>
      </c>
      <c r="E66" s="14">
        <f>E$5*((1+'User Inputs'!$E$9)^$B65)+E$4*((1+'User Inputs'!$E$12)^$B65)</f>
        <v>0</v>
      </c>
      <c r="F66" s="14">
        <f>F$5*((1+'User Inputs'!$E$9)^$B65)+F$4*((1+'User Inputs'!$E$12)^$B65)</f>
        <v>2387395.6385828629</v>
      </c>
      <c r="G66" s="14">
        <f>G$5*((1+'User Inputs'!$E$9)^$B65)+G$4*((1+'User Inputs'!$E$12)^$B65)</f>
        <v>0</v>
      </c>
      <c r="H66" s="14">
        <f>H$5*((1+'User Inputs'!$E$9)^$B65)+H$4*((1+'User Inputs'!$E$12)^$B65)</f>
        <v>0</v>
      </c>
      <c r="I66" s="14">
        <f>I$5*((1+'User Inputs'!$E$9)^$B65)+I$4*((1+'User Inputs'!$E$12)^$B65)</f>
        <v>0</v>
      </c>
      <c r="J66" s="14">
        <f>J$5*((1+'User Inputs'!$E$9)^$B65)+J$4*((1+'User Inputs'!$E$12)^$B65)</f>
        <v>0</v>
      </c>
    </row>
    <row r="67" spans="1:10" x14ac:dyDescent="0.25">
      <c r="A67" s="4" t="s">
        <v>42</v>
      </c>
      <c r="B67" s="33">
        <v>25</v>
      </c>
      <c r="C67" s="14">
        <f>C$5*((1+'User Inputs'!$E$9)^$B66)+C$4*((1+'User Inputs'!$E$12)^$B66)</f>
        <v>0</v>
      </c>
      <c r="D67" s="14">
        <f>D$5*((1+'User Inputs'!$E$9)^$B66)+D$4*((1+'User Inputs'!$E$12)^$B66)</f>
        <v>0</v>
      </c>
      <c r="E67" s="14">
        <f>E$5*((1+'User Inputs'!$E$9)^$B66)+E$4*((1+'User Inputs'!$E$12)^$B66)</f>
        <v>0</v>
      </c>
      <c r="F67" s="14">
        <f>F$5*((1+'User Inputs'!$E$9)^$B66)+F$4*((1+'User Inputs'!$E$12)^$B66)</f>
        <v>2588268.0859642038</v>
      </c>
      <c r="G67" s="14">
        <f>G$5*((1+'User Inputs'!$E$9)^$B66)+G$4*((1+'User Inputs'!$E$12)^$B66)</f>
        <v>0</v>
      </c>
      <c r="H67" s="14">
        <f>H$5*((1+'User Inputs'!$E$9)^$B66)+H$4*((1+'User Inputs'!$E$12)^$B66)</f>
        <v>0</v>
      </c>
      <c r="I67" s="14">
        <f>I$5*((1+'User Inputs'!$E$9)^$B66)+I$4*((1+'User Inputs'!$E$12)^$B66)</f>
        <v>0</v>
      </c>
      <c r="J67" s="14">
        <f>J$5*((1+'User Inputs'!$E$9)^$B66)+J$4*((1+'User Inputs'!$E$12)^$B66)</f>
        <v>0</v>
      </c>
    </row>
    <row r="69" spans="1:10" ht="30" x14ac:dyDescent="0.25">
      <c r="A69" s="38" t="s">
        <v>151</v>
      </c>
      <c r="B69" s="34"/>
      <c r="C69" s="37"/>
    </row>
    <row r="70" spans="1:10" x14ac:dyDescent="0.25">
      <c r="A70" s="4" t="s">
        <v>42</v>
      </c>
      <c r="B70" s="33">
        <v>0</v>
      </c>
      <c r="C70" s="14">
        <f>0</f>
        <v>0</v>
      </c>
      <c r="D70" s="14">
        <f>0</f>
        <v>0</v>
      </c>
      <c r="E70" s="14">
        <f>0</f>
        <v>0</v>
      </c>
      <c r="F70" s="14">
        <f>0</f>
        <v>0</v>
      </c>
      <c r="G70" s="14">
        <f>0</f>
        <v>0</v>
      </c>
      <c r="H70" s="14">
        <f>0</f>
        <v>0</v>
      </c>
      <c r="I70" s="14">
        <f>0</f>
        <v>0</v>
      </c>
      <c r="J70" s="14">
        <f>0</f>
        <v>0</v>
      </c>
    </row>
    <row r="71" spans="1:10" x14ac:dyDescent="0.25">
      <c r="A71" s="4" t="s">
        <v>42</v>
      </c>
      <c r="B71" s="33">
        <v>1</v>
      </c>
      <c r="C71" s="14">
        <f>C6+C8</f>
        <v>0</v>
      </c>
      <c r="D71" s="14">
        <f t="shared" ref="D71:J71" si="14">D6+D8</f>
        <v>0</v>
      </c>
      <c r="E71" s="14">
        <f t="shared" si="14"/>
        <v>0</v>
      </c>
      <c r="F71" s="14">
        <f t="shared" si="14"/>
        <v>330418.38065625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</row>
    <row r="72" spans="1:10" x14ac:dyDescent="0.25">
      <c r="A72" s="4" t="s">
        <v>42</v>
      </c>
      <c r="B72" s="33">
        <v>2</v>
      </c>
      <c r="C72" s="14">
        <f>(C$6*(1+0.02*$B71)+C$8)*((1+'User Inputs'!$E$12)^$B71)</f>
        <v>0</v>
      </c>
      <c r="D72" s="14">
        <f>(D$6*(1+0.02*$B71)+D$8)*((1+'User Inputs'!$E$12)^$B71)</f>
        <v>0</v>
      </c>
      <c r="E72" s="14">
        <f>(E$6*(1+0.02*$B71)+E$8)*((1+'User Inputs'!$E$12)^$B71)</f>
        <v>0</v>
      </c>
      <c r="F72" s="14">
        <f>(F$6*(1+0.02*$B71)+F$8)*((1+'User Inputs'!$E$12)^$B71)</f>
        <v>340620.78723476251</v>
      </c>
      <c r="G72" s="14">
        <f>(G$6*(1+0.02*$B71)+G$8)*((1+'User Inputs'!$E$12)^$B71)</f>
        <v>0</v>
      </c>
      <c r="H72" s="14">
        <f>(H$6*(1+0.02*$B71)+H$8)*((1+'User Inputs'!$E$12)^$B71)</f>
        <v>0</v>
      </c>
      <c r="I72" s="14">
        <f>(I$6*(1+0.02*$B71)+I$8)*((1+'User Inputs'!$E$12)^$B71)</f>
        <v>0</v>
      </c>
      <c r="J72" s="14">
        <f>(J$6*(1+0.02*$B71)+J$8)*((1+'User Inputs'!$E$12)^$B71)</f>
        <v>0</v>
      </c>
    </row>
    <row r="73" spans="1:10" x14ac:dyDescent="0.25">
      <c r="A73" s="4" t="s">
        <v>42</v>
      </c>
      <c r="B73" s="33">
        <v>3</v>
      </c>
      <c r="C73" s="14">
        <f>(C$6*(1+0.02*$B72)+C$8)*((1+'User Inputs'!$E$12)^$B72)</f>
        <v>0</v>
      </c>
      <c r="D73" s="14">
        <f>(D$6*(1+0.02*$B72)+D$8)*((1+'User Inputs'!$E$12)^$B72)</f>
        <v>0</v>
      </c>
      <c r="E73" s="14">
        <f>(E$6*(1+0.02*$B72)+E$8)*((1+'User Inputs'!$E$12)^$B72)</f>
        <v>0</v>
      </c>
      <c r="F73" s="14">
        <f>(F$6*(1+0.02*$B72)+F$8)*((1+'User Inputs'!$E$12)^$B72)</f>
        <v>351099.12272415299</v>
      </c>
      <c r="G73" s="14">
        <f>(G$6*(1+0.02*$B72)+G$8)*((1+'User Inputs'!$E$12)^$B72)</f>
        <v>0</v>
      </c>
      <c r="H73" s="14">
        <f>(H$6*(1+0.02*$B72)+H$8)*((1+'User Inputs'!$E$12)^$B72)</f>
        <v>0</v>
      </c>
      <c r="I73" s="14">
        <f>(I$6*(1+0.02*$B72)+I$8)*((1+'User Inputs'!$E$12)^$B72)</f>
        <v>0</v>
      </c>
      <c r="J73" s="14">
        <f>(J$6*(1+0.02*$B72)+J$8)*((1+'User Inputs'!$E$12)^$B72)</f>
        <v>0</v>
      </c>
    </row>
    <row r="74" spans="1:10" x14ac:dyDescent="0.25">
      <c r="A74" s="4" t="s">
        <v>42</v>
      </c>
      <c r="B74" s="33">
        <v>4</v>
      </c>
      <c r="C74" s="14">
        <f>(C$6*(1+0.02*$B73)+C$8)*((1+'User Inputs'!$E$12)^$B73)</f>
        <v>0</v>
      </c>
      <c r="D74" s="14">
        <f>(D$6*(1+0.02*$B73)+D$8)*((1+'User Inputs'!$E$12)^$B73)</f>
        <v>0</v>
      </c>
      <c r="E74" s="14">
        <f>(E$6*(1+0.02*$B73)+E$8)*((1+'User Inputs'!$E$12)^$B73)</f>
        <v>0</v>
      </c>
      <c r="F74" s="14">
        <f>(F$6*(1+0.02*$B73)+F$8)*((1+'User Inputs'!$E$12)^$B73)</f>
        <v>361860.34331822518</v>
      </c>
      <c r="G74" s="14">
        <f>(G$6*(1+0.02*$B73)+G$8)*((1+'User Inputs'!$E$12)^$B73)</f>
        <v>0</v>
      </c>
      <c r="H74" s="14">
        <f>(H$6*(1+0.02*$B73)+H$8)*((1+'User Inputs'!$E$12)^$B73)</f>
        <v>0</v>
      </c>
      <c r="I74" s="14">
        <f>(I$6*(1+0.02*$B73)+I$8)*((1+'User Inputs'!$E$12)^$B73)</f>
        <v>0</v>
      </c>
      <c r="J74" s="14">
        <f>(J$6*(1+0.02*$B73)+J$8)*((1+'User Inputs'!$E$12)^$B73)</f>
        <v>0</v>
      </c>
    </row>
    <row r="75" spans="1:10" x14ac:dyDescent="0.25">
      <c r="A75" s="4" t="s">
        <v>42</v>
      </c>
      <c r="B75" s="33">
        <v>5</v>
      </c>
      <c r="C75" s="14">
        <f>(C$6*(1+0.02*$B74)+C$8)*((1+'User Inputs'!$E$12)^$B74)</f>
        <v>0</v>
      </c>
      <c r="D75" s="14">
        <f>(D$6*(1+0.02*$B74)+D$8)*((1+'User Inputs'!$E$12)^$B74)</f>
        <v>0</v>
      </c>
      <c r="E75" s="14">
        <f>(E$6*(1+0.02*$B74)+E$8)*((1+'User Inputs'!$E$12)^$B74)</f>
        <v>0</v>
      </c>
      <c r="F75" s="14">
        <f>(F$6*(1+0.02*$B74)+F$8)*((1+'User Inputs'!$E$12)^$B74)</f>
        <v>372911.57308697066</v>
      </c>
      <c r="G75" s="14">
        <f>(G$6*(1+0.02*$B74)+G$8)*((1+'User Inputs'!$E$12)^$B74)</f>
        <v>0</v>
      </c>
      <c r="H75" s="14">
        <f>(H$6*(1+0.02*$B74)+H$8)*((1+'User Inputs'!$E$12)^$B74)</f>
        <v>0</v>
      </c>
      <c r="I75" s="14">
        <f>(I$6*(1+0.02*$B74)+I$8)*((1+'User Inputs'!$E$12)^$B74)</f>
        <v>0</v>
      </c>
      <c r="J75" s="14">
        <f>(J$6*(1+0.02*$B74)+J$8)*((1+'User Inputs'!$E$12)^$B74)</f>
        <v>0</v>
      </c>
    </row>
    <row r="76" spans="1:10" x14ac:dyDescent="0.25">
      <c r="A76" s="4" t="s">
        <v>42</v>
      </c>
      <c r="B76" s="33">
        <v>6</v>
      </c>
      <c r="C76" s="14">
        <f>(C$6*(1+0.02*$B75)+C$8)*((1+'User Inputs'!$E$12)^$B75)</f>
        <v>0</v>
      </c>
      <c r="D76" s="14">
        <f>(D$6*(1+0.02*$B75)+D$8)*((1+'User Inputs'!$E$12)^$B75)</f>
        <v>0</v>
      </c>
      <c r="E76" s="14">
        <f>(E$6*(1+0.02*$B75)+E$8)*((1+'User Inputs'!$E$12)^$B75)</f>
        <v>0</v>
      </c>
      <c r="F76" s="14">
        <f>(F$6*(1+0.02*$B75)+F$8)*((1+'User Inputs'!$E$12)^$B75)</f>
        <v>384260.10790913861</v>
      </c>
      <c r="G76" s="14">
        <f>(G$6*(1+0.02*$B75)+G$8)*((1+'User Inputs'!$E$12)^$B75)</f>
        <v>0</v>
      </c>
      <c r="H76" s="14">
        <f>(H$6*(1+0.02*$B75)+H$8)*((1+'User Inputs'!$E$12)^$B75)</f>
        <v>0</v>
      </c>
      <c r="I76" s="14">
        <f>(I$6*(1+0.02*$B75)+I$8)*((1+'User Inputs'!$E$12)^$B75)</f>
        <v>0</v>
      </c>
      <c r="J76" s="14">
        <f>(J$6*(1+0.02*$B75)+J$8)*((1+'User Inputs'!$E$12)^$B75)</f>
        <v>0</v>
      </c>
    </row>
    <row r="77" spans="1:10" x14ac:dyDescent="0.25">
      <c r="A77" s="4" t="s">
        <v>42</v>
      </c>
      <c r="B77" s="33">
        <v>7</v>
      </c>
      <c r="C77" s="14">
        <f>(C$6*(1+0.02*$B76)+C$8)*((1+'User Inputs'!$E$12)^$B76)</f>
        <v>0</v>
      </c>
      <c r="D77" s="14">
        <f>(D$6*(1+0.02*$B76)+D$8)*((1+'User Inputs'!$E$12)^$B76)</f>
        <v>0</v>
      </c>
      <c r="E77" s="14">
        <f>(E$6*(1+0.02*$B76)+E$8)*((1+'User Inputs'!$E$12)^$B76)</f>
        <v>0</v>
      </c>
      <c r="F77" s="14">
        <f>(F$6*(1+0.02*$B76)+F$8)*((1+'User Inputs'!$E$12)^$B76)</f>
        <v>395913.41949495859</v>
      </c>
      <c r="G77" s="14">
        <f>(G$6*(1+0.02*$B76)+G$8)*((1+'User Inputs'!$E$12)^$B76)</f>
        <v>0</v>
      </c>
      <c r="H77" s="14">
        <f>(H$6*(1+0.02*$B76)+H$8)*((1+'User Inputs'!$E$12)^$B76)</f>
        <v>0</v>
      </c>
      <c r="I77" s="14">
        <f>(I$6*(1+0.02*$B76)+I$8)*((1+'User Inputs'!$E$12)^$B76)</f>
        <v>0</v>
      </c>
      <c r="J77" s="14">
        <f>(J$6*(1+0.02*$B76)+J$8)*((1+'User Inputs'!$E$12)^$B76)</f>
        <v>0</v>
      </c>
    </row>
    <row r="78" spans="1:10" x14ac:dyDescent="0.25">
      <c r="A78" s="4" t="s">
        <v>42</v>
      </c>
      <c r="B78" s="33">
        <v>8</v>
      </c>
      <c r="C78" s="14">
        <f>(C$6*(1+0.02*$B77)+C$8)*((1+'User Inputs'!$E$12)^$B77)</f>
        <v>0</v>
      </c>
      <c r="D78" s="14">
        <f>(D$6*(1+0.02*$B77)+D$8)*((1+'User Inputs'!$E$12)^$B77)</f>
        <v>0</v>
      </c>
      <c r="E78" s="14">
        <f>(E$6*(1+0.02*$B77)+E$8)*((1+'User Inputs'!$E$12)^$B77)</f>
        <v>0</v>
      </c>
      <c r="F78" s="14">
        <f>(F$6*(1+0.02*$B77)+F$8)*((1+'User Inputs'!$E$12)^$B77)</f>
        <v>407879.15950104757</v>
      </c>
      <c r="G78" s="14">
        <f>(G$6*(1+0.02*$B77)+G$8)*((1+'User Inputs'!$E$12)^$B77)</f>
        <v>0</v>
      </c>
      <c r="H78" s="14">
        <f>(H$6*(1+0.02*$B77)+H$8)*((1+'User Inputs'!$E$12)^$B77)</f>
        <v>0</v>
      </c>
      <c r="I78" s="14">
        <f>(I$6*(1+0.02*$B77)+I$8)*((1+'User Inputs'!$E$12)^$B77)</f>
        <v>0</v>
      </c>
      <c r="J78" s="14">
        <f>(J$6*(1+0.02*$B77)+J$8)*((1+'User Inputs'!$E$12)^$B77)</f>
        <v>0</v>
      </c>
    </row>
    <row r="79" spans="1:10" x14ac:dyDescent="0.25">
      <c r="A79" s="4" t="s">
        <v>42</v>
      </c>
      <c r="B79" s="33">
        <v>9</v>
      </c>
      <c r="C79" s="14">
        <f>(C$6*(1+0.02*$B78)+C$8)*((1+'User Inputs'!$E$12)^$B78)</f>
        <v>0</v>
      </c>
      <c r="D79" s="14">
        <f>(D$6*(1+0.02*$B78)+D$8)*((1+'User Inputs'!$E$12)^$B78)</f>
        <v>0</v>
      </c>
      <c r="E79" s="14">
        <f>(E$6*(1+0.02*$B78)+E$8)*((1+'User Inputs'!$E$12)^$B78)</f>
        <v>0</v>
      </c>
      <c r="F79" s="14">
        <f>(F$6*(1+0.02*$B78)+F$8)*((1+'User Inputs'!$E$12)^$B78)</f>
        <v>420165.16373958217</v>
      </c>
      <c r="G79" s="14">
        <f>(G$6*(1+0.02*$B78)+G$8)*((1+'User Inputs'!$E$12)^$B78)</f>
        <v>0</v>
      </c>
      <c r="H79" s="14">
        <f>(H$6*(1+0.02*$B78)+H$8)*((1+'User Inputs'!$E$12)^$B78)</f>
        <v>0</v>
      </c>
      <c r="I79" s="14">
        <f>(I$6*(1+0.02*$B78)+I$8)*((1+'User Inputs'!$E$12)^$B78)</f>
        <v>0</v>
      </c>
      <c r="J79" s="14">
        <f>(J$6*(1+0.02*$B78)+J$8)*((1+'User Inputs'!$E$12)^$B78)</f>
        <v>0</v>
      </c>
    </row>
    <row r="80" spans="1:10" x14ac:dyDescent="0.25">
      <c r="A80" s="4" t="s">
        <v>42</v>
      </c>
      <c r="B80" s="33">
        <v>10</v>
      </c>
      <c r="C80" s="14">
        <f>(C$6*(1+0.02*$B79)+C$8)*((1+'User Inputs'!$E$12)^$B79)</f>
        <v>0</v>
      </c>
      <c r="D80" s="14">
        <f>(D$6*(1+0.02*$B79)+D$8)*((1+'User Inputs'!$E$12)^$B79)</f>
        <v>0</v>
      </c>
      <c r="E80" s="14">
        <f>(E$6*(1+0.02*$B79)+E$8)*((1+'User Inputs'!$E$12)^$B79)</f>
        <v>0</v>
      </c>
      <c r="F80" s="14">
        <f>(F$6*(1+0.02*$B79)+F$8)*((1+'User Inputs'!$E$12)^$B79)</f>
        <v>432779.45648385771</v>
      </c>
      <c r="G80" s="14">
        <f>(G$6*(1+0.02*$B79)+G$8)*((1+'User Inputs'!$E$12)^$B79)</f>
        <v>0</v>
      </c>
      <c r="H80" s="14">
        <f>(H$6*(1+0.02*$B79)+H$8)*((1+'User Inputs'!$E$12)^$B79)</f>
        <v>0</v>
      </c>
      <c r="I80" s="14">
        <f>(I$6*(1+0.02*$B79)+I$8)*((1+'User Inputs'!$E$12)^$B79)</f>
        <v>0</v>
      </c>
      <c r="J80" s="14">
        <f>(J$6*(1+0.02*$B79)+J$8)*((1+'User Inputs'!$E$12)^$B79)</f>
        <v>0</v>
      </c>
    </row>
    <row r="81" spans="1:10" x14ac:dyDescent="0.25">
      <c r="A81" s="4" t="s">
        <v>42</v>
      </c>
      <c r="B81" s="33">
        <v>11</v>
      </c>
      <c r="C81" s="14">
        <f>(C$6*(1+0.02*$B80)+C$8)*((1+'User Inputs'!$E$12)^$B80)</f>
        <v>0</v>
      </c>
      <c r="D81" s="14">
        <f>(D$6*(1+0.02*$B80)+D$8)*((1+'User Inputs'!$E$12)^$B80)</f>
        <v>0</v>
      </c>
      <c r="E81" s="14">
        <f>(E$6*(1+0.02*$B80)+E$8)*((1+'User Inputs'!$E$12)^$B80)</f>
        <v>0</v>
      </c>
      <c r="F81" s="14">
        <f>(F$6*(1+0.02*$B80)+F$8)*((1+'User Inputs'!$E$12)^$B80)</f>
        <v>445730.25487240852</v>
      </c>
      <c r="G81" s="14">
        <f>(G$6*(1+0.02*$B80)+G$8)*((1+'User Inputs'!$E$12)^$B80)</f>
        <v>0</v>
      </c>
      <c r="H81" s="14">
        <f>(H$6*(1+0.02*$B80)+H$8)*((1+'User Inputs'!$E$12)^$B80)</f>
        <v>0</v>
      </c>
      <c r="I81" s="14">
        <f>(I$6*(1+0.02*$B80)+I$8)*((1+'User Inputs'!$E$12)^$B80)</f>
        <v>0</v>
      </c>
      <c r="J81" s="14">
        <f>(J$6*(1+0.02*$B80)+J$8)*((1+'User Inputs'!$E$12)^$B80)</f>
        <v>0</v>
      </c>
    </row>
    <row r="82" spans="1:10" x14ac:dyDescent="0.25">
      <c r="A82" s="4" t="s">
        <v>42</v>
      </c>
      <c r="B82" s="33">
        <v>12</v>
      </c>
      <c r="C82" s="14">
        <f>(C$6*(1+0.02*$B81)+C$8)*((1+'User Inputs'!$E$12)^$B81)</f>
        <v>0</v>
      </c>
      <c r="D82" s="14">
        <f>(D$6*(1+0.02*$B81)+D$8)*((1+'User Inputs'!$E$12)^$B81)</f>
        <v>0</v>
      </c>
      <c r="E82" s="14">
        <f>(E$6*(1+0.02*$B81)+E$8)*((1+'User Inputs'!$E$12)^$B81)</f>
        <v>0</v>
      </c>
      <c r="F82" s="14">
        <f>(F$6*(1+0.02*$B81)+F$8)*((1+'User Inputs'!$E$12)^$B81)</f>
        <v>459025.97341390775</v>
      </c>
      <c r="G82" s="14">
        <f>(G$6*(1+0.02*$B81)+G$8)*((1+'User Inputs'!$E$12)^$B81)</f>
        <v>0</v>
      </c>
      <c r="H82" s="14">
        <f>(H$6*(1+0.02*$B81)+H$8)*((1+'User Inputs'!$E$12)^$B81)</f>
        <v>0</v>
      </c>
      <c r="I82" s="14">
        <f>(I$6*(1+0.02*$B81)+I$8)*((1+'User Inputs'!$E$12)^$B81)</f>
        <v>0</v>
      </c>
      <c r="J82" s="14">
        <f>(J$6*(1+0.02*$B81)+J$8)*((1+'User Inputs'!$E$12)^$B81)</f>
        <v>0</v>
      </c>
    </row>
    <row r="83" spans="1:10" x14ac:dyDescent="0.25">
      <c r="A83" s="4" t="s">
        <v>42</v>
      </c>
      <c r="B83" s="33">
        <v>13</v>
      </c>
      <c r="C83" s="14">
        <f>(C$6*(1+0.02*$B82)+C$8)*((1+'User Inputs'!$E$12)^$B82)</f>
        <v>0</v>
      </c>
      <c r="D83" s="14">
        <f>(D$6*(1+0.02*$B82)+D$8)*((1+'User Inputs'!$E$12)^$B82)</f>
        <v>0</v>
      </c>
      <c r="E83" s="14">
        <f>(E$6*(1+0.02*$B82)+E$8)*((1+'User Inputs'!$E$12)^$B82)</f>
        <v>0</v>
      </c>
      <c r="F83" s="14">
        <f>(F$6*(1+0.02*$B82)+F$8)*((1+'User Inputs'!$E$12)^$B82)</f>
        <v>472675.22859511804</v>
      </c>
      <c r="G83" s="14">
        <f>(G$6*(1+0.02*$B82)+G$8)*((1+'User Inputs'!$E$12)^$B82)</f>
        <v>0</v>
      </c>
      <c r="H83" s="14">
        <f>(H$6*(1+0.02*$B82)+H$8)*((1+'User Inputs'!$E$12)^$B82)</f>
        <v>0</v>
      </c>
      <c r="I83" s="14">
        <f>(I$6*(1+0.02*$B82)+I$8)*((1+'User Inputs'!$E$12)^$B82)</f>
        <v>0</v>
      </c>
      <c r="J83" s="14">
        <f>(J$6*(1+0.02*$B82)+J$8)*((1+'User Inputs'!$E$12)^$B82)</f>
        <v>0</v>
      </c>
    </row>
    <row r="84" spans="1:10" x14ac:dyDescent="0.25">
      <c r="A84" s="4" t="s">
        <v>42</v>
      </c>
      <c r="B84" s="33">
        <v>14</v>
      </c>
      <c r="C84" s="14">
        <f>(C$6*(1+0.02*$B83)+C$8)*((1+'User Inputs'!$E$12)^$B83)</f>
        <v>0</v>
      </c>
      <c r="D84" s="14">
        <f>(D$6*(1+0.02*$B83)+D$8)*((1+'User Inputs'!$E$12)^$B83)</f>
        <v>0</v>
      </c>
      <c r="E84" s="14">
        <f>(E$6*(1+0.02*$B83)+E$8)*((1+'User Inputs'!$E$12)^$B83)</f>
        <v>0</v>
      </c>
      <c r="F84" s="14">
        <f>(F$6*(1+0.02*$B83)+F$8)*((1+'User Inputs'!$E$12)^$B83)</f>
        <v>486686.84359421115</v>
      </c>
      <c r="G84" s="14">
        <f>(G$6*(1+0.02*$B83)+G$8)*((1+'User Inputs'!$E$12)^$B83)</f>
        <v>0</v>
      </c>
      <c r="H84" s="14">
        <f>(H$6*(1+0.02*$B83)+H$8)*((1+'User Inputs'!$E$12)^$B83)</f>
        <v>0</v>
      </c>
      <c r="I84" s="14">
        <f>(I$6*(1+0.02*$B83)+I$8)*((1+'User Inputs'!$E$12)^$B83)</f>
        <v>0</v>
      </c>
      <c r="J84" s="14">
        <f>(J$6*(1+0.02*$B83)+J$8)*((1+'User Inputs'!$E$12)^$B83)</f>
        <v>0</v>
      </c>
    </row>
    <row r="85" spans="1:10" x14ac:dyDescent="0.25">
      <c r="A85" s="4" t="s">
        <v>42</v>
      </c>
      <c r="B85" s="33">
        <v>15</v>
      </c>
      <c r="C85" s="14">
        <f>(C$6*(1+0.02*$B84)+C$8)*((1+'User Inputs'!$E$12)^$B84)</f>
        <v>0</v>
      </c>
      <c r="D85" s="14">
        <f>(D$6*(1+0.02*$B84)+D$8)*((1+'User Inputs'!$E$12)^$B84)</f>
        <v>0</v>
      </c>
      <c r="E85" s="14">
        <f>(E$6*(1+0.02*$B84)+E$8)*((1+'User Inputs'!$E$12)^$B84)</f>
        <v>0</v>
      </c>
      <c r="F85" s="14">
        <f>(F$6*(1+0.02*$B84)+F$8)*((1+'User Inputs'!$E$12)^$B84)</f>
        <v>501069.85310183</v>
      </c>
      <c r="G85" s="14">
        <f>(G$6*(1+0.02*$B84)+G$8)*((1+'User Inputs'!$E$12)^$B84)</f>
        <v>0</v>
      </c>
      <c r="H85" s="14">
        <f>(H$6*(1+0.02*$B84)+H$8)*((1+'User Inputs'!$E$12)^$B84)</f>
        <v>0</v>
      </c>
      <c r="I85" s="14">
        <f>(I$6*(1+0.02*$B84)+I$8)*((1+'User Inputs'!$E$12)^$B84)</f>
        <v>0</v>
      </c>
      <c r="J85" s="14">
        <f>(J$6*(1+0.02*$B84)+J$8)*((1+'User Inputs'!$E$12)^$B84)</f>
        <v>0</v>
      </c>
    </row>
    <row r="86" spans="1:10" x14ac:dyDescent="0.25">
      <c r="A86" s="4" t="s">
        <v>42</v>
      </c>
      <c r="B86" s="33">
        <v>16</v>
      </c>
      <c r="C86" s="14">
        <f>(C$6*(1+0.02*$B85)+C$8)*((1+'User Inputs'!$E$12)^$B85)</f>
        <v>0</v>
      </c>
      <c r="D86" s="14">
        <f>(D$6*(1+0.02*$B85)+D$8)*((1+'User Inputs'!$E$12)^$B85)</f>
        <v>0</v>
      </c>
      <c r="E86" s="14">
        <f>(E$6*(1+0.02*$B85)+E$8)*((1+'User Inputs'!$E$12)^$B85)</f>
        <v>0</v>
      </c>
      <c r="F86" s="14">
        <f>(F$6*(1+0.02*$B85)+F$8)*((1+'User Inputs'!$E$12)^$B85)</f>
        <v>515833.50825231569</v>
      </c>
      <c r="G86" s="14">
        <f>(G$6*(1+0.02*$B85)+G$8)*((1+'User Inputs'!$E$12)^$B85)</f>
        <v>0</v>
      </c>
      <c r="H86" s="14">
        <f>(H$6*(1+0.02*$B85)+H$8)*((1+'User Inputs'!$E$12)^$B85)</f>
        <v>0</v>
      </c>
      <c r="I86" s="14">
        <f>(I$6*(1+0.02*$B85)+I$8)*((1+'User Inputs'!$E$12)^$B85)</f>
        <v>0</v>
      </c>
      <c r="J86" s="14">
        <f>(J$6*(1+0.02*$B85)+J$8)*((1+'User Inputs'!$E$12)^$B85)</f>
        <v>0</v>
      </c>
    </row>
    <row r="87" spans="1:10" x14ac:dyDescent="0.25">
      <c r="A87" s="4" t="s">
        <v>42</v>
      </c>
      <c r="B87" s="33">
        <v>17</v>
      </c>
      <c r="C87" s="14">
        <f>(C$6*(1+0.02*$B86)+C$8)*((1+'User Inputs'!$E$12)^$B86)</f>
        <v>0</v>
      </c>
      <c r="D87" s="14">
        <f>(D$6*(1+0.02*$B86)+D$8)*((1+'User Inputs'!$E$12)^$B86)</f>
        <v>0</v>
      </c>
      <c r="E87" s="14">
        <f>(E$6*(1+0.02*$B86)+E$8)*((1+'User Inputs'!$E$12)^$B86)</f>
        <v>0</v>
      </c>
      <c r="F87" s="14">
        <f>(F$6*(1+0.02*$B86)+F$8)*((1+'User Inputs'!$E$12)^$B86)</f>
        <v>530987.28166758036</v>
      </c>
      <c r="G87" s="14">
        <f>(G$6*(1+0.02*$B86)+G$8)*((1+'User Inputs'!$E$12)^$B86)</f>
        <v>0</v>
      </c>
      <c r="H87" s="14">
        <f>(H$6*(1+0.02*$B86)+H$8)*((1+'User Inputs'!$E$12)^$B86)</f>
        <v>0</v>
      </c>
      <c r="I87" s="14">
        <f>(I$6*(1+0.02*$B86)+I$8)*((1+'User Inputs'!$E$12)^$B86)</f>
        <v>0</v>
      </c>
      <c r="J87" s="14">
        <f>(J$6*(1+0.02*$B86)+J$8)*((1+'User Inputs'!$E$12)^$B86)</f>
        <v>0</v>
      </c>
    </row>
    <row r="88" spans="1:10" x14ac:dyDescent="0.25">
      <c r="A88" s="4" t="s">
        <v>42</v>
      </c>
      <c r="B88" s="33">
        <v>18</v>
      </c>
      <c r="C88" s="14">
        <f>(C$6*(1+0.02*$B87)+C$8)*((1+'User Inputs'!$E$12)^$B87)</f>
        <v>0</v>
      </c>
      <c r="D88" s="14">
        <f>(D$6*(1+0.02*$B87)+D$8)*((1+'User Inputs'!$E$12)^$B87)</f>
        <v>0</v>
      </c>
      <c r="E88" s="14">
        <f>(E$6*(1+0.02*$B87)+E$8)*((1+'User Inputs'!$E$12)^$B87)</f>
        <v>0</v>
      </c>
      <c r="F88" s="14">
        <f>(F$6*(1+0.02*$B87)+F$8)*((1+'User Inputs'!$E$12)^$B87)</f>
        <v>546540.87261615472</v>
      </c>
      <c r="G88" s="14">
        <f>(G$6*(1+0.02*$B87)+G$8)*((1+'User Inputs'!$E$12)^$B87)</f>
        <v>0</v>
      </c>
      <c r="H88" s="14">
        <f>(H$6*(1+0.02*$B87)+H$8)*((1+'User Inputs'!$E$12)^$B87)</f>
        <v>0</v>
      </c>
      <c r="I88" s="14">
        <f>(I$6*(1+0.02*$B87)+I$8)*((1+'User Inputs'!$E$12)^$B87)</f>
        <v>0</v>
      </c>
      <c r="J88" s="14">
        <f>(J$6*(1+0.02*$B87)+J$8)*((1+'User Inputs'!$E$12)^$B87)</f>
        <v>0</v>
      </c>
    </row>
    <row r="89" spans="1:10" x14ac:dyDescent="0.25">
      <c r="A89" s="4" t="s">
        <v>42</v>
      </c>
      <c r="B89" s="33">
        <v>19</v>
      </c>
      <c r="C89" s="14">
        <f>(C$6*(1+0.02*$B88)+C$8)*((1+'User Inputs'!$E$12)^$B88)</f>
        <v>0</v>
      </c>
      <c r="D89" s="14">
        <f>(D$6*(1+0.02*$B88)+D$8)*((1+'User Inputs'!$E$12)^$B88)</f>
        <v>0</v>
      </c>
      <c r="E89" s="14">
        <f>(E$6*(1+0.02*$B88)+E$8)*((1+'User Inputs'!$E$12)^$B88)</f>
        <v>0</v>
      </c>
      <c r="F89" s="14">
        <f>(F$6*(1+0.02*$B88)+F$8)*((1+'User Inputs'!$E$12)^$B88)</f>
        <v>562504.21229000471</v>
      </c>
      <c r="G89" s="14">
        <f>(G$6*(1+0.02*$B88)+G$8)*((1+'User Inputs'!$E$12)^$B88)</f>
        <v>0</v>
      </c>
      <c r="H89" s="14">
        <f>(H$6*(1+0.02*$B88)+H$8)*((1+'User Inputs'!$E$12)^$B88)</f>
        <v>0</v>
      </c>
      <c r="I89" s="14">
        <f>(I$6*(1+0.02*$B88)+I$8)*((1+'User Inputs'!$E$12)^$B88)</f>
        <v>0</v>
      </c>
      <c r="J89" s="14">
        <f>(J$6*(1+0.02*$B88)+J$8)*((1+'User Inputs'!$E$12)^$B88)</f>
        <v>0</v>
      </c>
    </row>
    <row r="90" spans="1:10" x14ac:dyDescent="0.25">
      <c r="A90" s="4" t="s">
        <v>42</v>
      </c>
      <c r="B90" s="33">
        <v>20</v>
      </c>
      <c r="C90" s="14">
        <f>(C$6*(1+0.02*$B89)+C$8)*((1+'User Inputs'!$E$12)^$B89)</f>
        <v>0</v>
      </c>
      <c r="D90" s="14">
        <f>(D$6*(1+0.02*$B89)+D$8)*((1+'User Inputs'!$E$12)^$B89)</f>
        <v>0</v>
      </c>
      <c r="E90" s="14">
        <f>(E$6*(1+0.02*$B89)+E$8)*((1+'User Inputs'!$E$12)^$B89)</f>
        <v>0</v>
      </c>
      <c r="F90" s="14">
        <f>(F$6*(1+0.02*$B89)+F$8)*((1+'User Inputs'!$E$12)^$B89)</f>
        <v>578887.46920176235</v>
      </c>
      <c r="G90" s="14">
        <f>(G$6*(1+0.02*$B89)+G$8)*((1+'User Inputs'!$E$12)^$B89)</f>
        <v>0</v>
      </c>
      <c r="H90" s="14">
        <f>(H$6*(1+0.02*$B89)+H$8)*((1+'User Inputs'!$E$12)^$B89)</f>
        <v>0</v>
      </c>
      <c r="I90" s="14">
        <f>(I$6*(1+0.02*$B89)+I$8)*((1+'User Inputs'!$E$12)^$B89)</f>
        <v>0</v>
      </c>
      <c r="J90" s="14">
        <f>(J$6*(1+0.02*$B89)+J$8)*((1+'User Inputs'!$E$12)^$B89)</f>
        <v>0</v>
      </c>
    </row>
    <row r="91" spans="1:10" x14ac:dyDescent="0.25">
      <c r="A91" s="4" t="s">
        <v>42</v>
      </c>
      <c r="B91" s="33">
        <v>21</v>
      </c>
      <c r="C91" s="14">
        <f>(C$6*(1+0.02*$B90)+C$8)*((1+'User Inputs'!$E$12)^$B90)</f>
        <v>0</v>
      </c>
      <c r="D91" s="14">
        <f>(D$6*(1+0.02*$B90)+D$8)*((1+'User Inputs'!$E$12)^$B90)</f>
        <v>0</v>
      </c>
      <c r="E91" s="14">
        <f>(E$6*(1+0.02*$B90)+E$8)*((1+'User Inputs'!$E$12)^$B90)</f>
        <v>0</v>
      </c>
      <c r="F91" s="14">
        <f>(F$6*(1+0.02*$B90)+F$8)*((1+'User Inputs'!$E$12)^$B90)</f>
        <v>595701.05470507441</v>
      </c>
      <c r="G91" s="14">
        <f>(G$6*(1+0.02*$B90)+G$8)*((1+'User Inputs'!$E$12)^$B90)</f>
        <v>0</v>
      </c>
      <c r="H91" s="14">
        <f>(H$6*(1+0.02*$B90)+H$8)*((1+'User Inputs'!$E$12)^$B90)</f>
        <v>0</v>
      </c>
      <c r="I91" s="14">
        <f>(I$6*(1+0.02*$B90)+I$8)*((1+'User Inputs'!$E$12)^$B90)</f>
        <v>0</v>
      </c>
      <c r="J91" s="14">
        <f>(J$6*(1+0.02*$B90)+J$8)*((1+'User Inputs'!$E$12)^$B90)</f>
        <v>0</v>
      </c>
    </row>
    <row r="92" spans="1:10" x14ac:dyDescent="0.25">
      <c r="A92" s="4" t="s">
        <v>42</v>
      </c>
      <c r="B92" s="33">
        <v>22</v>
      </c>
      <c r="C92" s="14">
        <f>(C$6*(1+0.02*$B91)+C$8)*((1+'User Inputs'!$E$12)^$B91)</f>
        <v>0</v>
      </c>
      <c r="D92" s="14">
        <f>(D$6*(1+0.02*$B91)+D$8)*((1+'User Inputs'!$E$12)^$B91)</f>
        <v>0</v>
      </c>
      <c r="E92" s="14">
        <f>(E$6*(1+0.02*$B91)+E$8)*((1+'User Inputs'!$E$12)^$B91)</f>
        <v>0</v>
      </c>
      <c r="F92" s="14">
        <f>(F$6*(1+0.02*$B91)+F$8)*((1+'User Inputs'!$E$12)^$B91)</f>
        <v>612955.6286408382</v>
      </c>
      <c r="G92" s="14">
        <f>(G$6*(1+0.02*$B91)+G$8)*((1+'User Inputs'!$E$12)^$B91)</f>
        <v>0</v>
      </c>
      <c r="H92" s="14">
        <f>(H$6*(1+0.02*$B91)+H$8)*((1+'User Inputs'!$E$12)^$B91)</f>
        <v>0</v>
      </c>
      <c r="I92" s="14">
        <f>(I$6*(1+0.02*$B91)+I$8)*((1+'User Inputs'!$E$12)^$B91)</f>
        <v>0</v>
      </c>
      <c r="J92" s="14">
        <f>(J$6*(1+0.02*$B91)+J$8)*((1+'User Inputs'!$E$12)^$B91)</f>
        <v>0</v>
      </c>
    </row>
    <row r="93" spans="1:10" x14ac:dyDescent="0.25">
      <c r="A93" s="4" t="s">
        <v>42</v>
      </c>
      <c r="B93" s="33">
        <v>23</v>
      </c>
      <c r="C93" s="14">
        <f>(C$6*(1+0.02*$B92)+C$8)*((1+'User Inputs'!$E$12)^$B92)</f>
        <v>0</v>
      </c>
      <c r="D93" s="14">
        <f>(D$6*(1+0.02*$B92)+D$8)*((1+'User Inputs'!$E$12)^$B92)</f>
        <v>0</v>
      </c>
      <c r="E93" s="14">
        <f>(E$6*(1+0.02*$B92)+E$8)*((1+'User Inputs'!$E$12)^$B92)</f>
        <v>0</v>
      </c>
      <c r="F93" s="14">
        <f>(F$6*(1+0.02*$B92)+F$8)*((1+'User Inputs'!$E$12)^$B92)</f>
        <v>630662.10511215054</v>
      </c>
      <c r="G93" s="14">
        <f>(G$6*(1+0.02*$B92)+G$8)*((1+'User Inputs'!$E$12)^$B92)</f>
        <v>0</v>
      </c>
      <c r="H93" s="14">
        <f>(H$6*(1+0.02*$B92)+H$8)*((1+'User Inputs'!$E$12)^$B92)</f>
        <v>0</v>
      </c>
      <c r="I93" s="14">
        <f>(I$6*(1+0.02*$B92)+I$8)*((1+'User Inputs'!$E$12)^$B92)</f>
        <v>0</v>
      </c>
      <c r="J93" s="14">
        <f>(J$6*(1+0.02*$B92)+J$8)*((1+'User Inputs'!$E$12)^$B92)</f>
        <v>0</v>
      </c>
    </row>
    <row r="94" spans="1:10" x14ac:dyDescent="0.25">
      <c r="A94" s="4" t="s">
        <v>42</v>
      </c>
      <c r="B94" s="33">
        <v>24</v>
      </c>
      <c r="C94" s="14">
        <f>(C$6*(1+0.02*$B93)+C$8)*((1+'User Inputs'!$E$12)^$B93)</f>
        <v>0</v>
      </c>
      <c r="D94" s="14">
        <f>(D$6*(1+0.02*$B93)+D$8)*((1+'User Inputs'!$E$12)^$B93)</f>
        <v>0</v>
      </c>
      <c r="E94" s="14">
        <f>(E$6*(1+0.02*$B93)+E$8)*((1+'User Inputs'!$E$12)^$B93)</f>
        <v>0</v>
      </c>
      <c r="F94" s="14">
        <f>(F$6*(1+0.02*$B93)+F$8)*((1+'User Inputs'!$E$12)^$B93)</f>
        <v>648831.65839085891</v>
      </c>
      <c r="G94" s="14">
        <f>(G$6*(1+0.02*$B93)+G$8)*((1+'User Inputs'!$E$12)^$B93)</f>
        <v>0</v>
      </c>
      <c r="H94" s="14">
        <f>(H$6*(1+0.02*$B93)+H$8)*((1+'User Inputs'!$E$12)^$B93)</f>
        <v>0</v>
      </c>
      <c r="I94" s="14">
        <f>(I$6*(1+0.02*$B93)+I$8)*((1+'User Inputs'!$E$12)^$B93)</f>
        <v>0</v>
      </c>
      <c r="J94" s="14">
        <f>(J$6*(1+0.02*$B93)+J$8)*((1+'User Inputs'!$E$12)^$B93)</f>
        <v>0</v>
      </c>
    </row>
    <row r="95" spans="1:10" x14ac:dyDescent="0.25">
      <c r="A95" s="4" t="s">
        <v>42</v>
      </c>
      <c r="B95" s="33">
        <v>25</v>
      </c>
      <c r="C95" s="14">
        <f>(C$6*(1+0.02*$B94)+C$8)*((1+'User Inputs'!$E$12)^$B94)</f>
        <v>0</v>
      </c>
      <c r="D95" s="14">
        <f>(D$6*(1+0.02*$B94)+D$8)*((1+'User Inputs'!$E$12)^$B94)</f>
        <v>0</v>
      </c>
      <c r="E95" s="14">
        <f>(E$6*(1+0.02*$B94)+E$8)*((1+'User Inputs'!$E$12)^$B94)</f>
        <v>0</v>
      </c>
      <c r="F95" s="14">
        <f>(F$6*(1+0.02*$B94)+F$8)*((1+'User Inputs'!$E$12)^$B94)</f>
        <v>667475.72895867086</v>
      </c>
      <c r="G95" s="14">
        <f>(G$6*(1+0.02*$B94)+G$8)*((1+'User Inputs'!$E$12)^$B94)</f>
        <v>0</v>
      </c>
      <c r="H95" s="14">
        <f>(H$6*(1+0.02*$B94)+H$8)*((1+'User Inputs'!$E$12)^$B94)</f>
        <v>0</v>
      </c>
      <c r="I95" s="14">
        <f>(I$6*(1+0.02*$B94)+I$8)*((1+'User Inputs'!$E$12)^$B94)</f>
        <v>0</v>
      </c>
      <c r="J95" s="14">
        <f>(J$6*(1+0.02*$B94)+J$8)*((1+'User Inputs'!$E$12)^$B94)</f>
        <v>0</v>
      </c>
    </row>
    <row r="97" spans="1:10" ht="30" x14ac:dyDescent="0.25">
      <c r="A97" s="38" t="s">
        <v>152</v>
      </c>
      <c r="B97" s="34"/>
      <c r="C97" s="37"/>
    </row>
    <row r="98" spans="1:10" x14ac:dyDescent="0.25">
      <c r="A98" s="4" t="s">
        <v>42</v>
      </c>
      <c r="B98" s="33">
        <v>0</v>
      </c>
      <c r="C98" s="14">
        <f>0</f>
        <v>0</v>
      </c>
      <c r="D98" s="14">
        <f>0</f>
        <v>0</v>
      </c>
      <c r="E98" s="14">
        <f>0</f>
        <v>0</v>
      </c>
      <c r="F98" s="14">
        <f>0</f>
        <v>0</v>
      </c>
      <c r="G98" s="14">
        <f>0</f>
        <v>0</v>
      </c>
      <c r="H98" s="14">
        <f>0</f>
        <v>0</v>
      </c>
      <c r="I98" s="14">
        <f>0</f>
        <v>0</v>
      </c>
      <c r="J98" s="14">
        <f>0</f>
        <v>0</v>
      </c>
    </row>
    <row r="99" spans="1:10" x14ac:dyDescent="0.25">
      <c r="A99" s="4" t="s">
        <v>42</v>
      </c>
      <c r="B99" s="33">
        <v>1</v>
      </c>
      <c r="C99" s="14">
        <f>C$7</f>
        <v>0</v>
      </c>
      <c r="D99" s="14">
        <f t="shared" ref="D99:J99" si="15">D$7</f>
        <v>0</v>
      </c>
      <c r="E99" s="14">
        <f t="shared" si="15"/>
        <v>0</v>
      </c>
      <c r="F99" s="14">
        <f t="shared" si="15"/>
        <v>77861.145833333343</v>
      </c>
      <c r="G99" s="14">
        <f t="shared" si="15"/>
        <v>0</v>
      </c>
      <c r="H99" s="14">
        <f t="shared" si="15"/>
        <v>0</v>
      </c>
      <c r="I99" s="14">
        <f t="shared" si="15"/>
        <v>0</v>
      </c>
      <c r="J99" s="14">
        <f t="shared" si="15"/>
        <v>0</v>
      </c>
    </row>
    <row r="100" spans="1:10" x14ac:dyDescent="0.25">
      <c r="A100" s="4" t="s">
        <v>42</v>
      </c>
      <c r="B100" s="33">
        <v>2</v>
      </c>
      <c r="C100" s="14">
        <f>C$7*((1+'User Inputs'!$E$12)^$B99)</f>
        <v>0</v>
      </c>
      <c r="D100" s="14">
        <f>D$7*((1+'User Inputs'!$E$12)^$B99)</f>
        <v>0</v>
      </c>
      <c r="E100" s="14">
        <f>E$7*((1+'User Inputs'!$E$12)^$B99)</f>
        <v>0</v>
      </c>
      <c r="F100" s="14">
        <f>F$7*((1+'User Inputs'!$E$12)^$B99)</f>
        <v>79418.368750000009</v>
      </c>
      <c r="G100" s="14">
        <f>G$7*((1+'User Inputs'!$E$12)^$B99)</f>
        <v>0</v>
      </c>
      <c r="H100" s="14">
        <f>H$7*((1+'User Inputs'!$E$12)^$B99)</f>
        <v>0</v>
      </c>
      <c r="I100" s="14">
        <f>I$7*((1+'User Inputs'!$E$12)^$B99)</f>
        <v>0</v>
      </c>
      <c r="J100" s="14">
        <f>J$7*((1+'User Inputs'!$E$12)^$B99)</f>
        <v>0</v>
      </c>
    </row>
    <row r="101" spans="1:10" x14ac:dyDescent="0.25">
      <c r="A101" s="4" t="s">
        <v>42</v>
      </c>
      <c r="B101" s="33">
        <v>3</v>
      </c>
      <c r="C101" s="14">
        <f>C$7*((1+'User Inputs'!$E$12)^$B100)</f>
        <v>0</v>
      </c>
      <c r="D101" s="14">
        <f>D$7*((1+'User Inputs'!$E$12)^$B100)</f>
        <v>0</v>
      </c>
      <c r="E101" s="14">
        <f>E$7*((1+'User Inputs'!$E$12)^$B100)</f>
        <v>0</v>
      </c>
      <c r="F101" s="14">
        <f>F$7*((1+'User Inputs'!$E$12)^$B100)</f>
        <v>81006.73612500001</v>
      </c>
      <c r="G101" s="14">
        <f>G$7*((1+'User Inputs'!$E$12)^$B100)</f>
        <v>0</v>
      </c>
      <c r="H101" s="14">
        <f>H$7*((1+'User Inputs'!$E$12)^$B100)</f>
        <v>0</v>
      </c>
      <c r="I101" s="14">
        <f>I$7*((1+'User Inputs'!$E$12)^$B100)</f>
        <v>0</v>
      </c>
      <c r="J101" s="14">
        <f>J$7*((1+'User Inputs'!$E$12)^$B100)</f>
        <v>0</v>
      </c>
    </row>
    <row r="102" spans="1:10" x14ac:dyDescent="0.25">
      <c r="A102" s="4" t="s">
        <v>42</v>
      </c>
      <c r="B102" s="33">
        <v>4</v>
      </c>
      <c r="C102" s="14">
        <f>C$7*((1+'User Inputs'!$E$12)^$B101)</f>
        <v>0</v>
      </c>
      <c r="D102" s="14">
        <f>D$7*((1+'User Inputs'!$E$12)^$B101)</f>
        <v>0</v>
      </c>
      <c r="E102" s="14">
        <f>E$7*((1+'User Inputs'!$E$12)^$B101)</f>
        <v>0</v>
      </c>
      <c r="F102" s="14">
        <f>F$7*((1+'User Inputs'!$E$12)^$B101)</f>
        <v>82626.870847500002</v>
      </c>
      <c r="G102" s="14">
        <f>G$7*((1+'User Inputs'!$E$12)^$B101)</f>
        <v>0</v>
      </c>
      <c r="H102" s="14">
        <f>H$7*((1+'User Inputs'!$E$12)^$B101)</f>
        <v>0</v>
      </c>
      <c r="I102" s="14">
        <f>I$7*((1+'User Inputs'!$E$12)^$B101)</f>
        <v>0</v>
      </c>
      <c r="J102" s="14">
        <f>J$7*((1+'User Inputs'!$E$12)^$B101)</f>
        <v>0</v>
      </c>
    </row>
    <row r="103" spans="1:10" x14ac:dyDescent="0.25">
      <c r="A103" s="4" t="s">
        <v>42</v>
      </c>
      <c r="B103" s="33">
        <v>5</v>
      </c>
      <c r="C103" s="14">
        <f>C$7*((1+'User Inputs'!$E$12)^$B102)</f>
        <v>0</v>
      </c>
      <c r="D103" s="14">
        <f>D$7*((1+'User Inputs'!$E$12)^$B102)</f>
        <v>0</v>
      </c>
      <c r="E103" s="14">
        <f>E$7*((1+'User Inputs'!$E$12)^$B102)</f>
        <v>0</v>
      </c>
      <c r="F103" s="14">
        <f>F$7*((1+'User Inputs'!$E$12)^$B102)</f>
        <v>84279.408264450016</v>
      </c>
      <c r="G103" s="14">
        <f>G$7*((1+'User Inputs'!$E$12)^$B102)</f>
        <v>0</v>
      </c>
      <c r="H103" s="14">
        <f>H$7*((1+'User Inputs'!$E$12)^$B102)</f>
        <v>0</v>
      </c>
      <c r="I103" s="14">
        <f>I$7*((1+'User Inputs'!$E$12)^$B102)</f>
        <v>0</v>
      </c>
      <c r="J103" s="14">
        <f>J$7*((1+'User Inputs'!$E$12)^$B102)</f>
        <v>0</v>
      </c>
    </row>
    <row r="104" spans="1:10" x14ac:dyDescent="0.25">
      <c r="A104" s="4" t="s">
        <v>42</v>
      </c>
      <c r="B104" s="33">
        <v>6</v>
      </c>
      <c r="C104" s="14">
        <f>C$7*((1+'User Inputs'!$E$12)^$B103)</f>
        <v>0</v>
      </c>
      <c r="D104" s="14">
        <f>D$7*((1+'User Inputs'!$E$12)^$B103)</f>
        <v>0</v>
      </c>
      <c r="E104" s="14">
        <f>E$7*((1+'User Inputs'!$E$12)^$B103)</f>
        <v>0</v>
      </c>
      <c r="F104" s="14">
        <f>F$7*((1+'User Inputs'!$E$12)^$B103)</f>
        <v>85964.996429739011</v>
      </c>
      <c r="G104" s="14">
        <f>G$7*((1+'User Inputs'!$E$12)^$B103)</f>
        <v>0</v>
      </c>
      <c r="H104" s="14">
        <f>H$7*((1+'User Inputs'!$E$12)^$B103)</f>
        <v>0</v>
      </c>
      <c r="I104" s="14">
        <f>I$7*((1+'User Inputs'!$E$12)^$B103)</f>
        <v>0</v>
      </c>
      <c r="J104" s="14">
        <f>J$7*((1+'User Inputs'!$E$12)^$B103)</f>
        <v>0</v>
      </c>
    </row>
    <row r="105" spans="1:10" x14ac:dyDescent="0.25">
      <c r="A105" s="4" t="s">
        <v>42</v>
      </c>
      <c r="B105" s="33">
        <v>7</v>
      </c>
      <c r="C105" s="14">
        <f>C$7*((1+'User Inputs'!$E$12)^$B104)</f>
        <v>0</v>
      </c>
      <c r="D105" s="14">
        <f>D$7*((1+'User Inputs'!$E$12)^$B104)</f>
        <v>0</v>
      </c>
      <c r="E105" s="14">
        <f>E$7*((1+'User Inputs'!$E$12)^$B104)</f>
        <v>0</v>
      </c>
      <c r="F105" s="14">
        <f>F$7*((1+'User Inputs'!$E$12)^$B104)</f>
        <v>87684.296358333799</v>
      </c>
      <c r="G105" s="14">
        <f>G$7*((1+'User Inputs'!$E$12)^$B104)</f>
        <v>0</v>
      </c>
      <c r="H105" s="14">
        <f>H$7*((1+'User Inputs'!$E$12)^$B104)</f>
        <v>0</v>
      </c>
      <c r="I105" s="14">
        <f>I$7*((1+'User Inputs'!$E$12)^$B104)</f>
        <v>0</v>
      </c>
      <c r="J105" s="14">
        <f>J$7*((1+'User Inputs'!$E$12)^$B104)</f>
        <v>0</v>
      </c>
    </row>
    <row r="106" spans="1:10" x14ac:dyDescent="0.25">
      <c r="A106" s="4" t="s">
        <v>42</v>
      </c>
      <c r="B106" s="33">
        <v>8</v>
      </c>
      <c r="C106" s="14">
        <f>C$7*((1+'User Inputs'!$E$12)^$B105)</f>
        <v>0</v>
      </c>
      <c r="D106" s="14">
        <f>D$7*((1+'User Inputs'!$E$12)^$B105)</f>
        <v>0</v>
      </c>
      <c r="E106" s="14">
        <f>E$7*((1+'User Inputs'!$E$12)^$B105)</f>
        <v>0</v>
      </c>
      <c r="F106" s="14">
        <f>F$7*((1+'User Inputs'!$E$12)^$B105)</f>
        <v>89437.982285500446</v>
      </c>
      <c r="G106" s="14">
        <f>G$7*((1+'User Inputs'!$E$12)^$B105)</f>
        <v>0</v>
      </c>
      <c r="H106" s="14">
        <f>H$7*((1+'User Inputs'!$E$12)^$B105)</f>
        <v>0</v>
      </c>
      <c r="I106" s="14">
        <f>I$7*((1+'User Inputs'!$E$12)^$B105)</f>
        <v>0</v>
      </c>
      <c r="J106" s="14">
        <f>J$7*((1+'User Inputs'!$E$12)^$B105)</f>
        <v>0</v>
      </c>
    </row>
    <row r="107" spans="1:10" x14ac:dyDescent="0.25">
      <c r="A107" s="4" t="s">
        <v>42</v>
      </c>
      <c r="B107" s="33">
        <v>9</v>
      </c>
      <c r="C107" s="14">
        <f>C$7*((1+'User Inputs'!$E$12)^$B106)</f>
        <v>0</v>
      </c>
      <c r="D107" s="14">
        <f>D$7*((1+'User Inputs'!$E$12)^$B106)</f>
        <v>0</v>
      </c>
      <c r="E107" s="14">
        <f>E$7*((1+'User Inputs'!$E$12)^$B106)</f>
        <v>0</v>
      </c>
      <c r="F107" s="14">
        <f>F$7*((1+'User Inputs'!$E$12)^$B106)</f>
        <v>91226.741931210476</v>
      </c>
      <c r="G107" s="14">
        <f>G$7*((1+'User Inputs'!$E$12)^$B106)</f>
        <v>0</v>
      </c>
      <c r="H107" s="14">
        <f>H$7*((1+'User Inputs'!$E$12)^$B106)</f>
        <v>0</v>
      </c>
      <c r="I107" s="14">
        <f>I$7*((1+'User Inputs'!$E$12)^$B106)</f>
        <v>0</v>
      </c>
      <c r="J107" s="14">
        <f>J$7*((1+'User Inputs'!$E$12)^$B106)</f>
        <v>0</v>
      </c>
    </row>
    <row r="108" spans="1:10" x14ac:dyDescent="0.25">
      <c r="A108" s="4" t="s">
        <v>42</v>
      </c>
      <c r="B108" s="33">
        <v>10</v>
      </c>
      <c r="C108" s="14">
        <f>C$7*((1+'User Inputs'!$E$12)^$B107)</f>
        <v>0</v>
      </c>
      <c r="D108" s="14">
        <f>D$7*((1+'User Inputs'!$E$12)^$B107)</f>
        <v>0</v>
      </c>
      <c r="E108" s="14">
        <f>E$7*((1+'User Inputs'!$E$12)^$B107)</f>
        <v>0</v>
      </c>
      <c r="F108" s="14">
        <f>F$7*((1+'User Inputs'!$E$12)^$B107)</f>
        <v>93051.276769834672</v>
      </c>
      <c r="G108" s="14">
        <f>G$7*((1+'User Inputs'!$E$12)^$B107)</f>
        <v>0</v>
      </c>
      <c r="H108" s="14">
        <f>H$7*((1+'User Inputs'!$E$12)^$B107)</f>
        <v>0</v>
      </c>
      <c r="I108" s="14">
        <f>I$7*((1+'User Inputs'!$E$12)^$B107)</f>
        <v>0</v>
      </c>
      <c r="J108" s="14">
        <f>J$7*((1+'User Inputs'!$E$12)^$B107)</f>
        <v>0</v>
      </c>
    </row>
    <row r="109" spans="1:10" x14ac:dyDescent="0.25">
      <c r="A109" s="4" t="s">
        <v>42</v>
      </c>
      <c r="B109" s="33">
        <v>11</v>
      </c>
      <c r="C109" s="14">
        <f>C$7*((1+'User Inputs'!$E$12)^$B108)</f>
        <v>0</v>
      </c>
      <c r="D109" s="14">
        <f>D$7*((1+'User Inputs'!$E$12)^$B108)</f>
        <v>0</v>
      </c>
      <c r="E109" s="14">
        <f>E$7*((1+'User Inputs'!$E$12)^$B108)</f>
        <v>0</v>
      </c>
      <c r="F109" s="14">
        <f>F$7*((1+'User Inputs'!$E$12)^$B108)</f>
        <v>94912.30230523138</v>
      </c>
      <c r="G109" s="14">
        <f>G$7*((1+'User Inputs'!$E$12)^$B108)</f>
        <v>0</v>
      </c>
      <c r="H109" s="14">
        <f>H$7*((1+'User Inputs'!$E$12)^$B108)</f>
        <v>0</v>
      </c>
      <c r="I109" s="14">
        <f>I$7*((1+'User Inputs'!$E$12)^$B108)</f>
        <v>0</v>
      </c>
      <c r="J109" s="14">
        <f>J$7*((1+'User Inputs'!$E$12)^$B108)</f>
        <v>0</v>
      </c>
    </row>
    <row r="110" spans="1:10" x14ac:dyDescent="0.25">
      <c r="A110" s="4" t="s">
        <v>42</v>
      </c>
      <c r="B110" s="33">
        <v>12</v>
      </c>
      <c r="C110" s="14">
        <f>C$7*((1+'User Inputs'!$E$12)^$B109)</f>
        <v>0</v>
      </c>
      <c r="D110" s="14">
        <f>D$7*((1+'User Inputs'!$E$12)^$B109)</f>
        <v>0</v>
      </c>
      <c r="E110" s="14">
        <f>E$7*((1+'User Inputs'!$E$12)^$B109)</f>
        <v>0</v>
      </c>
      <c r="F110" s="14">
        <f>F$7*((1+'User Inputs'!$E$12)^$B109)</f>
        <v>96810.548351335994</v>
      </c>
      <c r="G110" s="14">
        <f>G$7*((1+'User Inputs'!$E$12)^$B109)</f>
        <v>0</v>
      </c>
      <c r="H110" s="14">
        <f>H$7*((1+'User Inputs'!$E$12)^$B109)</f>
        <v>0</v>
      </c>
      <c r="I110" s="14">
        <f>I$7*((1+'User Inputs'!$E$12)^$B109)</f>
        <v>0</v>
      </c>
      <c r="J110" s="14">
        <f>J$7*((1+'User Inputs'!$E$12)^$B109)</f>
        <v>0</v>
      </c>
    </row>
    <row r="111" spans="1:10" x14ac:dyDescent="0.25">
      <c r="A111" s="4" t="s">
        <v>42</v>
      </c>
      <c r="B111" s="33">
        <v>13</v>
      </c>
      <c r="C111" s="14">
        <f>C$7*((1+'User Inputs'!$E$12)^$B110)</f>
        <v>0</v>
      </c>
      <c r="D111" s="14">
        <f>D$7*((1+'User Inputs'!$E$12)^$B110)</f>
        <v>0</v>
      </c>
      <c r="E111" s="14">
        <f>E$7*((1+'User Inputs'!$E$12)^$B110)</f>
        <v>0</v>
      </c>
      <c r="F111" s="14">
        <f>F$7*((1+'User Inputs'!$E$12)^$B110)</f>
        <v>98746.759318362718</v>
      </c>
      <c r="G111" s="14">
        <f>G$7*((1+'User Inputs'!$E$12)^$B110)</f>
        <v>0</v>
      </c>
      <c r="H111" s="14">
        <f>H$7*((1+'User Inputs'!$E$12)^$B110)</f>
        <v>0</v>
      </c>
      <c r="I111" s="14">
        <f>I$7*((1+'User Inputs'!$E$12)^$B110)</f>
        <v>0</v>
      </c>
      <c r="J111" s="14">
        <f>J$7*((1+'User Inputs'!$E$12)^$B110)</f>
        <v>0</v>
      </c>
    </row>
    <row r="112" spans="1:10" x14ac:dyDescent="0.25">
      <c r="A112" s="4" t="s">
        <v>42</v>
      </c>
      <c r="B112" s="33">
        <v>14</v>
      </c>
      <c r="C112" s="14">
        <f>C$7*((1+'User Inputs'!$E$12)^$B111)</f>
        <v>0</v>
      </c>
      <c r="D112" s="14">
        <f>D$7*((1+'User Inputs'!$E$12)^$B111)</f>
        <v>0</v>
      </c>
      <c r="E112" s="14">
        <f>E$7*((1+'User Inputs'!$E$12)^$B111)</f>
        <v>0</v>
      </c>
      <c r="F112" s="14">
        <f>F$7*((1+'User Inputs'!$E$12)^$B111)</f>
        <v>100721.69450472997</v>
      </c>
      <c r="G112" s="14">
        <f>G$7*((1+'User Inputs'!$E$12)^$B111)</f>
        <v>0</v>
      </c>
      <c r="H112" s="14">
        <f>H$7*((1+'User Inputs'!$E$12)^$B111)</f>
        <v>0</v>
      </c>
      <c r="I112" s="14">
        <f>I$7*((1+'User Inputs'!$E$12)^$B111)</f>
        <v>0</v>
      </c>
      <c r="J112" s="14">
        <f>J$7*((1+'User Inputs'!$E$12)^$B111)</f>
        <v>0</v>
      </c>
    </row>
    <row r="113" spans="1:10" x14ac:dyDescent="0.25">
      <c r="A113" s="4" t="s">
        <v>42</v>
      </c>
      <c r="B113" s="33">
        <v>15</v>
      </c>
      <c r="C113" s="14">
        <f>C$7*((1+'User Inputs'!$E$12)^$B112)</f>
        <v>0</v>
      </c>
      <c r="D113" s="14">
        <f>D$7*((1+'User Inputs'!$E$12)^$B112)</f>
        <v>0</v>
      </c>
      <c r="E113" s="14">
        <f>E$7*((1+'User Inputs'!$E$12)^$B112)</f>
        <v>0</v>
      </c>
      <c r="F113" s="14">
        <f>F$7*((1+'User Inputs'!$E$12)^$B112)</f>
        <v>102736.12839482458</v>
      </c>
      <c r="G113" s="14">
        <f>G$7*((1+'User Inputs'!$E$12)^$B112)</f>
        <v>0</v>
      </c>
      <c r="H113" s="14">
        <f>H$7*((1+'User Inputs'!$E$12)^$B112)</f>
        <v>0</v>
      </c>
      <c r="I113" s="14">
        <f>I$7*((1+'User Inputs'!$E$12)^$B112)</f>
        <v>0</v>
      </c>
      <c r="J113" s="14">
        <f>J$7*((1+'User Inputs'!$E$12)^$B112)</f>
        <v>0</v>
      </c>
    </row>
    <row r="114" spans="1:10" x14ac:dyDescent="0.25">
      <c r="A114" s="4" t="s">
        <v>42</v>
      </c>
      <c r="B114" s="33">
        <v>16</v>
      </c>
      <c r="C114" s="14">
        <f>C$7*((1+'User Inputs'!$E$12)^$B113)</f>
        <v>0</v>
      </c>
      <c r="D114" s="14">
        <f>D$7*((1+'User Inputs'!$E$12)^$B113)</f>
        <v>0</v>
      </c>
      <c r="E114" s="14">
        <f>E$7*((1+'User Inputs'!$E$12)^$B113)</f>
        <v>0</v>
      </c>
      <c r="F114" s="14">
        <f>F$7*((1+'User Inputs'!$E$12)^$B113)</f>
        <v>104790.85096272104</v>
      </c>
      <c r="G114" s="14">
        <f>G$7*((1+'User Inputs'!$E$12)^$B113)</f>
        <v>0</v>
      </c>
      <c r="H114" s="14">
        <f>H$7*((1+'User Inputs'!$E$12)^$B113)</f>
        <v>0</v>
      </c>
      <c r="I114" s="14">
        <f>I$7*((1+'User Inputs'!$E$12)^$B113)</f>
        <v>0</v>
      </c>
      <c r="J114" s="14">
        <f>J$7*((1+'User Inputs'!$E$12)^$B113)</f>
        <v>0</v>
      </c>
    </row>
    <row r="115" spans="1:10" x14ac:dyDescent="0.25">
      <c r="A115" s="4" t="s">
        <v>42</v>
      </c>
      <c r="B115" s="33">
        <v>17</v>
      </c>
      <c r="C115" s="14">
        <f>C$7*((1+'User Inputs'!$E$12)^$B114)</f>
        <v>0</v>
      </c>
      <c r="D115" s="14">
        <f>D$7*((1+'User Inputs'!$E$12)^$B114)</f>
        <v>0</v>
      </c>
      <c r="E115" s="14">
        <f>E$7*((1+'User Inputs'!$E$12)^$B114)</f>
        <v>0</v>
      </c>
      <c r="F115" s="14">
        <f>F$7*((1+'User Inputs'!$E$12)^$B114)</f>
        <v>106886.66798197548</v>
      </c>
      <c r="G115" s="14">
        <f>G$7*((1+'User Inputs'!$E$12)^$B114)</f>
        <v>0</v>
      </c>
      <c r="H115" s="14">
        <f>H$7*((1+'User Inputs'!$E$12)^$B114)</f>
        <v>0</v>
      </c>
      <c r="I115" s="14">
        <f>I$7*((1+'User Inputs'!$E$12)^$B114)</f>
        <v>0</v>
      </c>
      <c r="J115" s="14">
        <f>J$7*((1+'User Inputs'!$E$12)^$B114)</f>
        <v>0</v>
      </c>
    </row>
    <row r="116" spans="1:10" x14ac:dyDescent="0.25">
      <c r="A116" s="4" t="s">
        <v>42</v>
      </c>
      <c r="B116" s="33">
        <v>18</v>
      </c>
      <c r="C116" s="14">
        <f>C$7*((1+'User Inputs'!$E$12)^$B115)</f>
        <v>0</v>
      </c>
      <c r="D116" s="14">
        <f>D$7*((1+'User Inputs'!$E$12)^$B115)</f>
        <v>0</v>
      </c>
      <c r="E116" s="14">
        <f>E$7*((1+'User Inputs'!$E$12)^$B115)</f>
        <v>0</v>
      </c>
      <c r="F116" s="14">
        <f>F$7*((1+'User Inputs'!$E$12)^$B115)</f>
        <v>109024.401341615</v>
      </c>
      <c r="G116" s="14">
        <f>G$7*((1+'User Inputs'!$E$12)^$B115)</f>
        <v>0</v>
      </c>
      <c r="H116" s="14">
        <f>H$7*((1+'User Inputs'!$E$12)^$B115)</f>
        <v>0</v>
      </c>
      <c r="I116" s="14">
        <f>I$7*((1+'User Inputs'!$E$12)^$B115)</f>
        <v>0</v>
      </c>
      <c r="J116" s="14">
        <f>J$7*((1+'User Inputs'!$E$12)^$B115)</f>
        <v>0</v>
      </c>
    </row>
    <row r="117" spans="1:10" x14ac:dyDescent="0.25">
      <c r="A117" s="4" t="s">
        <v>42</v>
      </c>
      <c r="B117" s="33">
        <v>19</v>
      </c>
      <c r="C117" s="14">
        <f>C$7*((1+'User Inputs'!$E$12)^$B116)</f>
        <v>0</v>
      </c>
      <c r="D117" s="14">
        <f>D$7*((1+'User Inputs'!$E$12)^$B116)</f>
        <v>0</v>
      </c>
      <c r="E117" s="14">
        <f>E$7*((1+'User Inputs'!$E$12)^$B116)</f>
        <v>0</v>
      </c>
      <c r="F117" s="14">
        <f>F$7*((1+'User Inputs'!$E$12)^$B116)</f>
        <v>111204.88936844729</v>
      </c>
      <c r="G117" s="14">
        <f>G$7*((1+'User Inputs'!$E$12)^$B116)</f>
        <v>0</v>
      </c>
      <c r="H117" s="14">
        <f>H$7*((1+'User Inputs'!$E$12)^$B116)</f>
        <v>0</v>
      </c>
      <c r="I117" s="14">
        <f>I$7*((1+'User Inputs'!$E$12)^$B116)</f>
        <v>0</v>
      </c>
      <c r="J117" s="14">
        <f>J$7*((1+'User Inputs'!$E$12)^$B116)</f>
        <v>0</v>
      </c>
    </row>
    <row r="118" spans="1:10" x14ac:dyDescent="0.25">
      <c r="A118" s="4" t="s">
        <v>42</v>
      </c>
      <c r="B118" s="33">
        <v>20</v>
      </c>
      <c r="C118" s="14">
        <f>C$7*((1+'User Inputs'!$E$12)^$B117)</f>
        <v>0</v>
      </c>
      <c r="D118" s="14">
        <f>D$7*((1+'User Inputs'!$E$12)^$B117)</f>
        <v>0</v>
      </c>
      <c r="E118" s="14">
        <f>E$7*((1+'User Inputs'!$E$12)^$B117)</f>
        <v>0</v>
      </c>
      <c r="F118" s="14">
        <f>F$7*((1+'User Inputs'!$E$12)^$B117)</f>
        <v>113428.98715581623</v>
      </c>
      <c r="G118" s="14">
        <f>G$7*((1+'User Inputs'!$E$12)^$B117)</f>
        <v>0</v>
      </c>
      <c r="H118" s="14">
        <f>H$7*((1+'User Inputs'!$E$12)^$B117)</f>
        <v>0</v>
      </c>
      <c r="I118" s="14">
        <f>I$7*((1+'User Inputs'!$E$12)^$B117)</f>
        <v>0</v>
      </c>
      <c r="J118" s="14">
        <f>J$7*((1+'User Inputs'!$E$12)^$B117)</f>
        <v>0</v>
      </c>
    </row>
    <row r="119" spans="1:10" x14ac:dyDescent="0.25">
      <c r="A119" s="4" t="s">
        <v>42</v>
      </c>
      <c r="B119" s="33">
        <v>21</v>
      </c>
      <c r="C119" s="14">
        <f>C$7*((1+'User Inputs'!$E$12)^$B118)</f>
        <v>0</v>
      </c>
      <c r="D119" s="14">
        <f>D$7*((1+'User Inputs'!$E$12)^$B118)</f>
        <v>0</v>
      </c>
      <c r="E119" s="14">
        <f>E$7*((1+'User Inputs'!$E$12)^$B118)</f>
        <v>0</v>
      </c>
      <c r="F119" s="14">
        <f>F$7*((1+'User Inputs'!$E$12)^$B118)</f>
        <v>115697.56689893256</v>
      </c>
      <c r="G119" s="14">
        <f>G$7*((1+'User Inputs'!$E$12)^$B118)</f>
        <v>0</v>
      </c>
      <c r="H119" s="14">
        <f>H$7*((1+'User Inputs'!$E$12)^$B118)</f>
        <v>0</v>
      </c>
      <c r="I119" s="14">
        <f>I$7*((1+'User Inputs'!$E$12)^$B118)</f>
        <v>0</v>
      </c>
      <c r="J119" s="14">
        <f>J$7*((1+'User Inputs'!$E$12)^$B118)</f>
        <v>0</v>
      </c>
    </row>
    <row r="120" spans="1:10" x14ac:dyDescent="0.25">
      <c r="A120" s="4" t="s">
        <v>42</v>
      </c>
      <c r="B120" s="33">
        <v>22</v>
      </c>
      <c r="C120" s="14">
        <f>C$7*((1+'User Inputs'!$E$12)^$B119)</f>
        <v>0</v>
      </c>
      <c r="D120" s="14">
        <f>D$7*((1+'User Inputs'!$E$12)^$B119)</f>
        <v>0</v>
      </c>
      <c r="E120" s="14">
        <f>E$7*((1+'User Inputs'!$E$12)^$B119)</f>
        <v>0</v>
      </c>
      <c r="F120" s="14">
        <f>F$7*((1+'User Inputs'!$E$12)^$B119)</f>
        <v>118011.51823691122</v>
      </c>
      <c r="G120" s="14">
        <f>G$7*((1+'User Inputs'!$E$12)^$B119)</f>
        <v>0</v>
      </c>
      <c r="H120" s="14">
        <f>H$7*((1+'User Inputs'!$E$12)^$B119)</f>
        <v>0</v>
      </c>
      <c r="I120" s="14">
        <f>I$7*((1+'User Inputs'!$E$12)^$B119)</f>
        <v>0</v>
      </c>
      <c r="J120" s="14">
        <f>J$7*((1+'User Inputs'!$E$12)^$B119)</f>
        <v>0</v>
      </c>
    </row>
    <row r="121" spans="1:10" x14ac:dyDescent="0.25">
      <c r="A121" s="4" t="s">
        <v>42</v>
      </c>
      <c r="B121" s="33">
        <v>23</v>
      </c>
      <c r="C121" s="14">
        <f>C$7*((1+'User Inputs'!$E$12)^$B120)</f>
        <v>0</v>
      </c>
      <c r="D121" s="14">
        <f>D$7*((1+'User Inputs'!$E$12)^$B120)</f>
        <v>0</v>
      </c>
      <c r="E121" s="14">
        <f>E$7*((1+'User Inputs'!$E$12)^$B120)</f>
        <v>0</v>
      </c>
      <c r="F121" s="14">
        <f>F$7*((1+'User Inputs'!$E$12)^$B120)</f>
        <v>120371.74860164944</v>
      </c>
      <c r="G121" s="14">
        <f>G$7*((1+'User Inputs'!$E$12)^$B120)</f>
        <v>0</v>
      </c>
      <c r="H121" s="14">
        <f>H$7*((1+'User Inputs'!$E$12)^$B120)</f>
        <v>0</v>
      </c>
      <c r="I121" s="14">
        <f>I$7*((1+'User Inputs'!$E$12)^$B120)</f>
        <v>0</v>
      </c>
      <c r="J121" s="14">
        <f>J$7*((1+'User Inputs'!$E$12)^$B120)</f>
        <v>0</v>
      </c>
    </row>
    <row r="122" spans="1:10" x14ac:dyDescent="0.25">
      <c r="A122" s="4" t="s">
        <v>42</v>
      </c>
      <c r="B122" s="33">
        <v>24</v>
      </c>
      <c r="C122" s="14">
        <f>C$7*((1+'User Inputs'!$E$12)^$B121)</f>
        <v>0</v>
      </c>
      <c r="D122" s="14">
        <f>D$7*((1+'User Inputs'!$E$12)^$B121)</f>
        <v>0</v>
      </c>
      <c r="E122" s="14">
        <f>E$7*((1+'User Inputs'!$E$12)^$B121)</f>
        <v>0</v>
      </c>
      <c r="F122" s="14">
        <f>F$7*((1+'User Inputs'!$E$12)^$B121)</f>
        <v>122779.18357368241</v>
      </c>
      <c r="G122" s="14">
        <f>G$7*((1+'User Inputs'!$E$12)^$B121)</f>
        <v>0</v>
      </c>
      <c r="H122" s="14">
        <f>H$7*((1+'User Inputs'!$E$12)^$B121)</f>
        <v>0</v>
      </c>
      <c r="I122" s="14">
        <f>I$7*((1+'User Inputs'!$E$12)^$B121)</f>
        <v>0</v>
      </c>
      <c r="J122" s="14">
        <f>J$7*((1+'User Inputs'!$E$12)^$B121)</f>
        <v>0</v>
      </c>
    </row>
    <row r="123" spans="1:10" x14ac:dyDescent="0.25">
      <c r="A123" s="4" t="s">
        <v>42</v>
      </c>
      <c r="B123" s="33">
        <v>25</v>
      </c>
      <c r="C123" s="14">
        <f>C$7*((1+'User Inputs'!$E$12)^$B122)</f>
        <v>0</v>
      </c>
      <c r="D123" s="14">
        <f>D$7*((1+'User Inputs'!$E$12)^$B122)</f>
        <v>0</v>
      </c>
      <c r="E123" s="14">
        <f>E$7*((1+'User Inputs'!$E$12)^$B122)</f>
        <v>0</v>
      </c>
      <c r="F123" s="14">
        <f>F$7*((1+'User Inputs'!$E$12)^$B122)</f>
        <v>125234.76724515606</v>
      </c>
      <c r="G123" s="14">
        <f>G$7*((1+'User Inputs'!$E$12)^$B122)</f>
        <v>0</v>
      </c>
      <c r="H123" s="14">
        <f>H$7*((1+'User Inputs'!$E$12)^$B122)</f>
        <v>0</v>
      </c>
      <c r="I123" s="14">
        <f>I$7*((1+'User Inputs'!$E$12)^$B122)</f>
        <v>0</v>
      </c>
      <c r="J123" s="14">
        <f>J$7*((1+'User Inputs'!$E$12)^$B122)</f>
        <v>0</v>
      </c>
    </row>
  </sheetData>
  <sheetProtection password="EF95" sheet="1" objects="1" scenarios="1"/>
  <pageMargins left="0.25" right="0.25" top="0.75" bottom="0.75" header="0.3" footer="0.3"/>
  <pageSetup orientation="landscape" r:id="rId1"/>
  <headerFooter>
    <oddHeader xml:space="preserve">&amp;COperating Costs
</oddHeader>
    <oddFooter>&amp;C&amp;D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view="pageLayout" zoomScaleNormal="100" workbookViewId="0"/>
  </sheetViews>
  <sheetFormatPr defaultRowHeight="15" x14ac:dyDescent="0.25"/>
  <cols>
    <col min="1" max="1" width="18" customWidth="1"/>
    <col min="2" max="2" width="3" customWidth="1"/>
    <col min="3" max="3" width="13.7109375" bestFit="1" customWidth="1"/>
    <col min="4" max="4" width="9.7109375" style="9" customWidth="1"/>
    <col min="5" max="5" width="31.85546875" customWidth="1"/>
    <col min="6" max="8" width="13.7109375" bestFit="1" customWidth="1"/>
    <col min="9" max="9" width="15.140625" style="9" bestFit="1" customWidth="1"/>
    <col min="10" max="10" width="13.7109375" style="9" bestFit="1" customWidth="1"/>
  </cols>
  <sheetData>
    <row r="1" spans="1:11" x14ac:dyDescent="0.25">
      <c r="D1"/>
      <c r="I1"/>
      <c r="J1"/>
    </row>
    <row r="2" spans="1:11" x14ac:dyDescent="0.25">
      <c r="D2"/>
      <c r="I2"/>
      <c r="J2"/>
    </row>
    <row r="3" spans="1:11" ht="15" customHeight="1" x14ac:dyDescent="0.25">
      <c r="A3" s="115" t="s">
        <v>92</v>
      </c>
      <c r="B3" s="2"/>
      <c r="C3" s="42" t="s">
        <v>81</v>
      </c>
      <c r="D3"/>
      <c r="G3" t="str">
        <f>'Manual Oper Maint'!C2</f>
        <v xml:space="preserve"> </v>
      </c>
      <c r="H3" t="str">
        <f>'Manual Oper Maint'!D2</f>
        <v xml:space="preserve"> </v>
      </c>
      <c r="I3" t="str">
        <f>'Manual Oper Maint'!E2</f>
        <v xml:space="preserve"> </v>
      </c>
      <c r="J3"/>
    </row>
    <row r="4" spans="1:11" x14ac:dyDescent="0.25">
      <c r="A4" s="38" t="s">
        <v>44</v>
      </c>
      <c r="B4" s="34"/>
      <c r="C4" s="31"/>
      <c r="D4"/>
      <c r="I4"/>
      <c r="J4"/>
    </row>
    <row r="5" spans="1:11" s="9" customFormat="1" x14ac:dyDescent="0.25">
      <c r="A5" s="4" t="s">
        <v>42</v>
      </c>
      <c r="B5" s="33">
        <v>0</v>
      </c>
      <c r="C5" s="14">
        <f>IF(C$3=" "," ",'Manual Capital'!C14+SUM('Manual Oper Maint'!C14:J14))</f>
        <v>287211.45833333337</v>
      </c>
      <c r="D5"/>
      <c r="E5"/>
      <c r="G5"/>
      <c r="H5"/>
      <c r="I5"/>
    </row>
    <row r="6" spans="1:11" s="9" customFormat="1" x14ac:dyDescent="0.25">
      <c r="A6" s="4" t="s">
        <v>42</v>
      </c>
      <c r="B6" s="33">
        <v>1</v>
      </c>
      <c r="C6" s="14">
        <f>IF(C$3=" "," ",'Manual Capital'!C15+SUM('Manual Oper Maint'!C15:J15))</f>
        <v>1022578.8249393735</v>
      </c>
      <c r="D6"/>
      <c r="E6"/>
      <c r="G6"/>
      <c r="H6"/>
      <c r="I6"/>
    </row>
    <row r="7" spans="1:11" x14ac:dyDescent="0.25">
      <c r="A7" s="4" t="s">
        <v>42</v>
      </c>
      <c r="B7" s="33">
        <v>2</v>
      </c>
      <c r="C7" s="14">
        <f>IF(C$3=" "," ",'Manual Capital'!C16+SUM('Manual Oper Maint'!C16:J16))</f>
        <v>1061578.8249393736</v>
      </c>
      <c r="D7"/>
      <c r="I7"/>
      <c r="J7"/>
    </row>
    <row r="8" spans="1:11" x14ac:dyDescent="0.25">
      <c r="A8" s="4" t="s">
        <v>42</v>
      </c>
      <c r="B8" s="33">
        <v>3</v>
      </c>
      <c r="C8" s="14">
        <f>IF(C$3=" "," ",'Manual Capital'!C17+SUM('Manual Oper Maint'!C17:J17))</f>
        <v>1103578.8249393736</v>
      </c>
      <c r="D8"/>
      <c r="I8"/>
      <c r="J8"/>
    </row>
    <row r="9" spans="1:11" x14ac:dyDescent="0.25">
      <c r="A9" s="4" t="s">
        <v>42</v>
      </c>
      <c r="B9" s="33">
        <v>4</v>
      </c>
      <c r="C9" s="14">
        <f>IF(C$3=" "," ",'Manual Capital'!C18+SUM('Manual Oper Maint'!C18:J18))</f>
        <v>1148578.8249393736</v>
      </c>
      <c r="D9"/>
      <c r="I9"/>
      <c r="J9"/>
    </row>
    <row r="10" spans="1:11" x14ac:dyDescent="0.25">
      <c r="A10" s="4" t="s">
        <v>42</v>
      </c>
      <c r="B10" s="33">
        <v>5</v>
      </c>
      <c r="C10" s="14">
        <f>IF(C$3=" "," ",'Manual Capital'!C19+SUM('Manual Oper Maint'!C19:J19))</f>
        <v>1195578.8249393736</v>
      </c>
      <c r="D10"/>
      <c r="I10"/>
      <c r="J10"/>
    </row>
    <row r="11" spans="1:11" x14ac:dyDescent="0.25">
      <c r="A11" s="4" t="s">
        <v>42</v>
      </c>
      <c r="B11" s="33">
        <v>6</v>
      </c>
      <c r="C11" s="14">
        <f>IF(C$3=" "," ",'Manual Capital'!C20+SUM('Manual Oper Maint'!C20:J20))</f>
        <v>1246578.8249393736</v>
      </c>
      <c r="D11"/>
      <c r="I11"/>
      <c r="J11"/>
    </row>
    <row r="12" spans="1:11" x14ac:dyDescent="0.25">
      <c r="A12" s="4" t="s">
        <v>42</v>
      </c>
      <c r="B12" s="33">
        <v>7</v>
      </c>
      <c r="C12" s="14">
        <f>IF(C$3=" "," ",'Manual Capital'!C21+SUM('Manual Oper Maint'!C21:J21))</f>
        <v>1300578.8249393736</v>
      </c>
      <c r="D12"/>
      <c r="E12" s="140" t="s">
        <v>155</v>
      </c>
      <c r="F12" s="145">
        <f>ROUND('Manual Capital'!C7,-3)</f>
        <v>287000</v>
      </c>
      <c r="I12"/>
      <c r="J12"/>
    </row>
    <row r="13" spans="1:11" x14ac:dyDescent="0.25">
      <c r="A13" s="4" t="s">
        <v>42</v>
      </c>
      <c r="B13" s="33">
        <v>8</v>
      </c>
      <c r="C13" s="14">
        <f>IF(C$3=" "," ",'Manual Capital'!C22+SUM('Manual Oper Maint'!C22:J22))</f>
        <v>1359578.8249393736</v>
      </c>
      <c r="D13"/>
      <c r="E13" s="140" t="s">
        <v>154</v>
      </c>
      <c r="F13" s="145">
        <f>ROUND(SUM('Manual Capital'!C15:C39),-3)</f>
        <v>2012000</v>
      </c>
      <c r="I13"/>
      <c r="J13"/>
    </row>
    <row r="14" spans="1:11" x14ac:dyDescent="0.25">
      <c r="A14" s="4" t="s">
        <v>42</v>
      </c>
      <c r="B14" s="33">
        <v>9</v>
      </c>
      <c r="C14" s="14">
        <f>IF(C$3=" "," ",'Manual Capital'!C23+SUM('Manual Oper Maint'!C23:J23))</f>
        <v>1421578.8249393736</v>
      </c>
      <c r="D14"/>
      <c r="E14" s="140" t="s">
        <v>146</v>
      </c>
      <c r="F14" s="142"/>
      <c r="I14"/>
      <c r="J14"/>
      <c r="K14" s="9"/>
    </row>
    <row r="15" spans="1:11" x14ac:dyDescent="0.25">
      <c r="A15" s="4" t="s">
        <v>42</v>
      </c>
      <c r="B15" s="33">
        <v>10</v>
      </c>
      <c r="C15" s="14">
        <f>IF(C$3=" "," ",'Manual Capital'!C24+SUM('Manual Oper Maint'!C24:J24))</f>
        <v>1489578.8249393736</v>
      </c>
      <c r="D15"/>
      <c r="E15" s="143" t="s">
        <v>141</v>
      </c>
      <c r="F15" s="145">
        <f>ROUND(SUM('Manual Oper Maint'!C42:J67),-3)</f>
        <v>30637000</v>
      </c>
      <c r="I15"/>
      <c r="J15"/>
      <c r="K15" s="9"/>
    </row>
    <row r="16" spans="1:11" x14ac:dyDescent="0.25">
      <c r="A16" s="4" t="s">
        <v>42</v>
      </c>
      <c r="B16" s="33">
        <v>11</v>
      </c>
      <c r="C16" s="14">
        <f>IF(C$3=" "," ",'Manual Capital'!C25+SUM('Manual Oper Maint'!C25:J25))</f>
        <v>1561578.8249393736</v>
      </c>
      <c r="D16"/>
      <c r="E16" s="143" t="s">
        <v>147</v>
      </c>
      <c r="F16" s="145">
        <f>ROUND(SUM('Manual Oper Maint'!C70:J95),-3)</f>
        <v>12053000</v>
      </c>
      <c r="I16"/>
      <c r="J16"/>
      <c r="K16" s="9"/>
    </row>
    <row r="17" spans="1:11" x14ac:dyDescent="0.25">
      <c r="A17" s="4" t="s">
        <v>42</v>
      </c>
      <c r="B17" s="33">
        <v>12</v>
      </c>
      <c r="C17" s="14">
        <f>IF(C$3=" "," ",'Manual Capital'!C26+SUM('Manual Oper Maint'!C26:J26))</f>
        <v>1639578.8249393736</v>
      </c>
      <c r="D17"/>
      <c r="E17" s="143" t="s">
        <v>148</v>
      </c>
      <c r="F17" s="145">
        <f>ROUND(SUM('Manual Oper Maint'!C98:J123),-3)</f>
        <v>2494000</v>
      </c>
      <c r="I17"/>
      <c r="J17"/>
      <c r="K17" s="9"/>
    </row>
    <row r="18" spans="1:11" ht="25.5" x14ac:dyDescent="0.25">
      <c r="A18" s="4" t="s">
        <v>42</v>
      </c>
      <c r="B18" s="33">
        <v>13</v>
      </c>
      <c r="C18" s="14">
        <f>IF(C$3=" "," ",'Manual Capital'!C27+SUM('Manual Oper Maint'!C27:J27))</f>
        <v>1723578.8249393736</v>
      </c>
      <c r="D18"/>
      <c r="E18" s="148" t="s">
        <v>218</v>
      </c>
      <c r="F18" s="142">
        <f>SUM(F12:F17)</f>
        <v>47483000</v>
      </c>
      <c r="I18"/>
      <c r="J18"/>
      <c r="K18" s="9"/>
    </row>
    <row r="19" spans="1:11" x14ac:dyDescent="0.25">
      <c r="A19" s="4" t="s">
        <v>42</v>
      </c>
      <c r="B19" s="33">
        <v>14</v>
      </c>
      <c r="C19" s="14">
        <f>IF(C$3=" "," ",'Manual Capital'!C28+SUM('Manual Oper Maint'!C28:J28))</f>
        <v>1814578.8249393736</v>
      </c>
      <c r="D19"/>
      <c r="E19" s="146" t="s">
        <v>157</v>
      </c>
      <c r="F19" s="57">
        <f>ROUND(NPV('User Inputs'!$E12, C5:C29,C30-C31),-3)</f>
        <v>34250000</v>
      </c>
      <c r="I19"/>
      <c r="J19"/>
      <c r="K19" s="9"/>
    </row>
    <row r="20" spans="1:11" x14ac:dyDescent="0.25">
      <c r="A20" s="4" t="s">
        <v>42</v>
      </c>
      <c r="B20" s="33">
        <v>15</v>
      </c>
      <c r="C20" s="14">
        <f>IF(C$3=" "," ",'Manual Capital'!C29+SUM('Manual Oper Maint'!C29:J29))</f>
        <v>1912578.8249393736</v>
      </c>
      <c r="D20"/>
      <c r="E20" s="140" t="s">
        <v>138</v>
      </c>
      <c r="F20" s="119">
        <f>C6/'User Inputs'!$B23</f>
        <v>7.2833249639556517</v>
      </c>
      <c r="I20"/>
      <c r="J20"/>
      <c r="K20" s="9"/>
    </row>
    <row r="21" spans="1:11" ht="15" customHeight="1" x14ac:dyDescent="0.25">
      <c r="A21" s="4" t="s">
        <v>42</v>
      </c>
      <c r="B21" s="33">
        <v>16</v>
      </c>
      <c r="C21" s="14">
        <f>IF(C$3=" "," ",'Manual Capital'!C30+SUM('Manual Oper Maint'!C30:J30))</f>
        <v>2018578.8249393736</v>
      </c>
      <c r="D21"/>
      <c r="I21"/>
      <c r="J21"/>
      <c r="K21" s="9"/>
    </row>
    <row r="22" spans="1:11" x14ac:dyDescent="0.25">
      <c r="A22" s="4" t="s">
        <v>42</v>
      </c>
      <c r="B22" s="33">
        <v>17</v>
      </c>
      <c r="C22" s="14">
        <f>IF(C$3=" "," ",'Manual Capital'!C31+SUM('Manual Oper Maint'!C31:J31))</f>
        <v>2132578.8249393734</v>
      </c>
      <c r="I22"/>
      <c r="J22"/>
      <c r="K22" s="9"/>
    </row>
    <row r="23" spans="1:11" x14ac:dyDescent="0.25">
      <c r="A23" s="4" t="s">
        <v>42</v>
      </c>
      <c r="B23" s="33">
        <v>18</v>
      </c>
      <c r="C23" s="14">
        <f>IF(C$3=" "," ",'Manual Capital'!C32+SUM('Manual Oper Maint'!C32:J32))</f>
        <v>2256578.8249393734</v>
      </c>
      <c r="D23" s="168"/>
      <c r="E23" s="204"/>
      <c r="F23" s="205" t="s">
        <v>81</v>
      </c>
      <c r="I23"/>
      <c r="J23"/>
      <c r="K23" s="9"/>
    </row>
    <row r="24" spans="1:11" x14ac:dyDescent="0.25">
      <c r="A24" s="4" t="s">
        <v>42</v>
      </c>
      <c r="B24" s="33">
        <v>19</v>
      </c>
      <c r="C24" s="14">
        <f>IF(C$3=" "," ",'Manual Capital'!C33+SUM('Manual Oper Maint'!C33:J33))</f>
        <v>2391578.8249393734</v>
      </c>
      <c r="D24" s="168"/>
      <c r="E24" s="165" t="s">
        <v>54</v>
      </c>
      <c r="F24" s="206">
        <f>SUM('Manual Oper Maint'!C11:J11)</f>
        <v>808.77192982456143</v>
      </c>
      <c r="I24"/>
      <c r="J24"/>
      <c r="K24" s="9"/>
    </row>
    <row r="25" spans="1:11" x14ac:dyDescent="0.25">
      <c r="A25" s="4" t="s">
        <v>42</v>
      </c>
      <c r="B25" s="33">
        <v>20</v>
      </c>
      <c r="C25" s="14">
        <f>IF(C$3=" "," ",'Manual Capital'!C34+SUM('Manual Oper Maint'!C34:J34))</f>
        <v>2537578.8249393734</v>
      </c>
      <c r="D25" s="169"/>
      <c r="E25" s="166" t="s">
        <v>99</v>
      </c>
      <c r="F25" s="206">
        <f>'Manual Capital'!C15/SUM(Manual!B38:'Manual'!I38)</f>
        <v>88.227039420503104</v>
      </c>
      <c r="I25"/>
      <c r="J25"/>
      <c r="K25" s="9"/>
    </row>
    <row r="26" spans="1:11" x14ac:dyDescent="0.25">
      <c r="A26" s="4" t="s">
        <v>42</v>
      </c>
      <c r="B26" s="33">
        <v>21</v>
      </c>
      <c r="C26" s="14">
        <f>IF(C$3=" "," ",'Manual Capital'!C35+SUM('Manual Oper Maint'!C35:J35))</f>
        <v>2595000</v>
      </c>
      <c r="D26" s="168"/>
      <c r="E26" s="166" t="s">
        <v>224</v>
      </c>
      <c r="F26" s="206">
        <f>'Manual Total'!F15+'Manual Total'!F16+'Manual Total'!F17</f>
        <v>45184000</v>
      </c>
      <c r="I26"/>
      <c r="J26"/>
      <c r="K26" s="9"/>
    </row>
    <row r="27" spans="1:11" x14ac:dyDescent="0.25">
      <c r="A27" s="4" t="s">
        <v>42</v>
      </c>
      <c r="B27" s="33">
        <v>22</v>
      </c>
      <c r="C27" s="14">
        <f>IF(C$3=" "," ",'Manual Capital'!C36+SUM('Manual Oper Maint'!C36:J36))</f>
        <v>2768000</v>
      </c>
      <c r="D27" s="168"/>
      <c r="E27" s="166" t="s">
        <v>225</v>
      </c>
      <c r="F27" s="206">
        <f>SUM('Manual Capital'!C14:C39)</f>
        <v>2298787.957120805</v>
      </c>
      <c r="I27"/>
      <c r="J27"/>
      <c r="K27" s="9"/>
    </row>
    <row r="28" spans="1:11" x14ac:dyDescent="0.25">
      <c r="A28" s="4" t="s">
        <v>42</v>
      </c>
      <c r="B28" s="33">
        <v>23</v>
      </c>
      <c r="C28" s="14">
        <f>IF(C$3=" "," ",'Manual Capital'!C37+SUM('Manual Oper Maint'!C37:J37))</f>
        <v>2955000</v>
      </c>
      <c r="D28" s="168"/>
      <c r="E28" s="166" t="s">
        <v>101</v>
      </c>
      <c r="F28" s="206">
        <f>F24+F25</f>
        <v>896.99896924506447</v>
      </c>
      <c r="I28"/>
      <c r="J28"/>
      <c r="K28" s="9"/>
    </row>
    <row r="29" spans="1:11" x14ac:dyDescent="0.25">
      <c r="A29" s="4" t="s">
        <v>42</v>
      </c>
      <c r="B29" s="33">
        <v>24</v>
      </c>
      <c r="C29" s="14">
        <f>IF(C$3=" "," ",'Manual Capital'!C38+SUM('Manual Oper Maint'!C38:J38))</f>
        <v>3159000</v>
      </c>
      <c r="D29" s="169"/>
      <c r="E29" s="207" t="s">
        <v>226</v>
      </c>
      <c r="F29" s="208">
        <f>NPV('User Inputs'!E12,'Manual Total'!C5:C29,C30-C31)</f>
        <v>34249543.682090022</v>
      </c>
      <c r="I29"/>
      <c r="J29"/>
      <c r="K29" s="9"/>
    </row>
    <row r="30" spans="1:11" x14ac:dyDescent="0.25">
      <c r="A30" s="4" t="s">
        <v>42</v>
      </c>
      <c r="B30" s="33">
        <v>25</v>
      </c>
      <c r="C30" s="14">
        <f>IF(C$3=" "," ",'Manual Capital'!C39+SUM('Manual Oper Maint'!C39:J39))</f>
        <v>3381000</v>
      </c>
      <c r="D30" s="170"/>
      <c r="E30" s="170"/>
      <c r="F30" s="170"/>
      <c r="I30"/>
      <c r="J30"/>
      <c r="K30" s="9"/>
    </row>
    <row r="31" spans="1:11" ht="28.5" customHeight="1" x14ac:dyDescent="0.25">
      <c r="A31" s="428" t="s">
        <v>178</v>
      </c>
      <c r="B31" s="429"/>
      <c r="C31" s="46">
        <f>SUM('Manual Capital'!C12:J12)</f>
        <v>610324.34895833337</v>
      </c>
      <c r="D31" s="171"/>
      <c r="E31" s="119"/>
      <c r="F31" s="119"/>
      <c r="I31"/>
      <c r="J31"/>
    </row>
    <row r="40" ht="32.25" customHeight="1" x14ac:dyDescent="0.25"/>
    <row r="41" ht="25.5" customHeight="1" x14ac:dyDescent="0.25"/>
  </sheetData>
  <sheetProtection password="EF95" sheet="1" objects="1" scenarios="1"/>
  <mergeCells count="1">
    <mergeCell ref="A31:B31"/>
  </mergeCells>
  <pageMargins left="0.25" right="0.25" top="0.75" bottom="0.75" header="0.3" footer="0.3"/>
  <pageSetup orientation="landscape" r:id="rId1"/>
  <headerFooter>
    <oddHeader xml:space="preserve">&amp;CTotal Cost Years 1 to 15
</oddHeader>
    <oddFooter>&amp;C&amp;D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7"/>
  <sheetViews>
    <sheetView view="pageLayout" zoomScaleNormal="100" workbookViewId="0"/>
  </sheetViews>
  <sheetFormatPr defaultRowHeight="15" x14ac:dyDescent="0.25"/>
  <cols>
    <col min="1" max="1" width="28.85546875" customWidth="1"/>
    <col min="2" max="4" width="18.42578125" customWidth="1"/>
    <col min="5" max="5" width="23" customWidth="1"/>
    <col min="6" max="6" width="13.42578125" customWidth="1"/>
    <col min="7" max="7" width="13.28515625" customWidth="1"/>
    <col min="8" max="8" width="13.5703125" customWidth="1"/>
    <col min="9" max="9" width="13.85546875" customWidth="1"/>
    <col min="10" max="10" width="12.140625" bestFit="1" customWidth="1"/>
    <col min="11" max="11" width="11.85546875" bestFit="1" customWidth="1"/>
    <col min="12" max="12" width="14.28515625" bestFit="1" customWidth="1"/>
    <col min="13" max="14" width="12.7109375" customWidth="1"/>
  </cols>
  <sheetData>
    <row r="1" spans="1:5" ht="27" customHeight="1" x14ac:dyDescent="0.25">
      <c r="A1" s="19"/>
      <c r="B1" s="201" t="s">
        <v>284</v>
      </c>
      <c r="C1" s="201" t="s">
        <v>285</v>
      </c>
      <c r="D1" s="201" t="s">
        <v>286</v>
      </c>
      <c r="E1" s="201" t="s">
        <v>287</v>
      </c>
    </row>
    <row r="2" spans="1:5" x14ac:dyDescent="0.25">
      <c r="A2" s="123" t="s">
        <v>184</v>
      </c>
      <c r="B2" s="20"/>
      <c r="C2" s="20"/>
      <c r="D2" s="20"/>
      <c r="E2" s="20"/>
    </row>
    <row r="3" spans="1:5" x14ac:dyDescent="0.25">
      <c r="A3" s="187" t="s">
        <v>76</v>
      </c>
      <c r="B3" s="23">
        <f>'Vessel Data'!K7*'User Inputs'!$E$2</f>
        <v>8</v>
      </c>
      <c r="C3" s="23">
        <f>'Vessel Data'!L7*'User Inputs'!$E$2</f>
        <v>9.6000000000000014</v>
      </c>
      <c r="D3" s="23">
        <f>'Vessel Data'!M7*'User Inputs'!$E$2</f>
        <v>9.6000000000000014</v>
      </c>
      <c r="E3" s="23">
        <f>'Vessel Data'!N7*'User Inputs'!$E$2</f>
        <v>32</v>
      </c>
    </row>
    <row r="4" spans="1:5" x14ac:dyDescent="0.25">
      <c r="A4" s="22" t="s">
        <v>27</v>
      </c>
      <c r="B4" s="23">
        <f>'Vessel Data'!K10-1</f>
        <v>99</v>
      </c>
      <c r="C4" s="23">
        <v>200</v>
      </c>
      <c r="D4" s="23">
        <v>250</v>
      </c>
      <c r="E4" s="23">
        <v>350</v>
      </c>
    </row>
    <row r="5" spans="1:5" x14ac:dyDescent="0.25">
      <c r="A5" s="22" t="s">
        <v>9</v>
      </c>
      <c r="B5" s="24">
        <f>'Vessel Data'!K19</f>
        <v>3</v>
      </c>
      <c r="C5" s="24">
        <f>'Vessel Data'!L19</f>
        <v>5</v>
      </c>
      <c r="D5" s="24">
        <f>'Vessel Data'!M19</f>
        <v>6</v>
      </c>
      <c r="E5" s="24">
        <f>'Vessel Data'!N19</f>
        <v>8</v>
      </c>
    </row>
    <row r="6" spans="1:5" x14ac:dyDescent="0.25">
      <c r="A6" s="22" t="s">
        <v>83</v>
      </c>
      <c r="B6" s="89">
        <f>IF('User Inputs'!$E$18="1-5 Years",'Vessel Data'!K23*0.931,IF('User Inputs'!$E$18='User Inputs'!$O$30,'Vessel Data'!K23,IF('User Inputs'!$E$18='User Inputs'!$O$32,'Vessel Data'!K23*0.816,IF('User Inputs'!$E$18='User Inputs'!$O$33,'Vessel Data'!K23*0.655,IF('User Inputs'!$E$18='User Inputs'!$O$34,'Vessel Data'!K23*0.425,'Vessel Data'!K23*0.15)))))</f>
        <v>816000</v>
      </c>
      <c r="C6" s="89">
        <f>IF('User Inputs'!$E$18="1-5 Years",'Vessel Data'!L23*0.931,IF('User Inputs'!$E$18='User Inputs'!$O$30,'Vessel Data'!L23,IF('User Inputs'!$E$18='User Inputs'!$O$32,'Vessel Data'!L23*0.816,IF('User Inputs'!$E$18='User Inputs'!$O$33,'Vessel Data'!L23*0.655,IF('User Inputs'!$E$18='User Inputs'!$O$34,'Vessel Data'!L23*0.425,'Vessel Data'!L23*0.15)))))</f>
        <v>2692800</v>
      </c>
      <c r="D6" s="89">
        <f>IF('User Inputs'!$E$18="1-5 Years",'Vessel Data'!M23*0.931,IF('User Inputs'!$E$18='User Inputs'!$O$30,'Vessel Data'!M23,IF('User Inputs'!$E$18='User Inputs'!$O$32,'Vessel Data'!M23*0.816,IF('User Inputs'!$E$18='User Inputs'!$O$33,'Vessel Data'!M23*0.655,IF('User Inputs'!$E$18='User Inputs'!$O$34,'Vessel Data'!M23*0.425,'Vessel Data'!M23*0.15)))))</f>
        <v>5712000</v>
      </c>
      <c r="E6" s="89">
        <f>IF('User Inputs'!$E$18="1-5 Years",'Vessel Data'!N23*0.931,IF('User Inputs'!$E$18='User Inputs'!$O$30,'Vessel Data'!N23,IF('User Inputs'!$E$18='User Inputs'!$O$32,'Vessel Data'!N23*0.816,IF('User Inputs'!$E$18='User Inputs'!$O$33,'Vessel Data'!N23*0.655,IF('User Inputs'!$E$18='User Inputs'!$O$34,'Vessel Data'!N23*0.425,'Vessel Data'!N23*0.15)))))</f>
        <v>20400000</v>
      </c>
    </row>
    <row r="7" spans="1:5" x14ac:dyDescent="0.25">
      <c r="A7" s="22" t="s">
        <v>84</v>
      </c>
      <c r="B7" s="89">
        <f>IF('User Inputs'!$E$18="1-5 Years",'Vessel Data'!K24*0.931,IF('User Inputs'!$E$18='User Inputs'!$O$30,'Vessel Data'!K24,IF('User Inputs'!$E$18='User Inputs'!$O$32,'Vessel Data'!K24*0.816,IF('User Inputs'!$E$18='User Inputs'!$O$33,'Vessel Data'!K24*0.655,IF('User Inputs'!$E$18='User Inputs'!$O$34,'Vessel Data'!K24*0.425,'Vessel Data'!K24*0.15)))))</f>
        <v>4079999.9999999995</v>
      </c>
      <c r="C7" s="89">
        <f>IF('User Inputs'!$E$18="1-5 Years",'Vessel Data'!L24*0.931,IF('User Inputs'!$E$18='User Inputs'!$O$30,'Vessel Data'!L24,IF('User Inputs'!$E$18='User Inputs'!$O$32,'Vessel Data'!L24*0.816,IF('User Inputs'!$E$18='User Inputs'!$O$33,'Vessel Data'!L24*0.655,IF('User Inputs'!$E$18='User Inputs'!$O$34,'Vessel Data'!L24*0.425,'Vessel Data'!L24*0.15)))))</f>
        <v>6120000</v>
      </c>
      <c r="D7" s="89">
        <f>IF('User Inputs'!$E$18="1-5 Years",'Vessel Data'!M24*0.931,IF('User Inputs'!$E$18='User Inputs'!$O$30,'Vessel Data'!M24,IF('User Inputs'!$E$18='User Inputs'!$O$32,'Vessel Data'!M24*0.816,IF('User Inputs'!$E$18='User Inputs'!$O$33,'Vessel Data'!M24*0.655,IF('User Inputs'!$E$18='User Inputs'!$O$34,'Vessel Data'!M24*0.425,'Vessel Data'!M24*0.15)))))</f>
        <v>14687999.999999998</v>
      </c>
      <c r="E7" s="89">
        <f>IF('User Inputs'!$E$18="1-5 Years",'Vessel Data'!N24*0.931,IF('User Inputs'!$E$18='User Inputs'!$O$30,'Vessel Data'!N24,IF('User Inputs'!$E$18='User Inputs'!$O$32,'Vessel Data'!N24*0.816,IF('User Inputs'!$E$18='User Inputs'!$O$33,'Vessel Data'!N24*0.655,IF('User Inputs'!$E$18='User Inputs'!$O$34,'Vessel Data'!N24*0.425,'Vessel Data'!N24*0.15)))))</f>
        <v>35088000</v>
      </c>
    </row>
    <row r="8" spans="1:5" x14ac:dyDescent="0.25">
      <c r="A8" s="123" t="s">
        <v>28</v>
      </c>
      <c r="B8" s="26"/>
      <c r="C8" s="26"/>
      <c r="D8" s="26"/>
      <c r="E8" s="26"/>
    </row>
    <row r="9" spans="1:5" x14ac:dyDescent="0.25">
      <c r="A9" s="22" t="s">
        <v>8</v>
      </c>
      <c r="B9" s="28">
        <f>'Vessel Data'!K49</f>
        <v>73.5</v>
      </c>
      <c r="C9" s="28">
        <f>'Vessel Data'!L49</f>
        <v>69.749999999999986</v>
      </c>
      <c r="D9" s="28">
        <f>'Vessel Data'!M49</f>
        <v>69.749999999999986</v>
      </c>
      <c r="E9" s="28">
        <f>'Vessel Data'!N49</f>
        <v>56.55555555555555</v>
      </c>
    </row>
    <row r="10" spans="1:5" x14ac:dyDescent="0.25">
      <c r="A10" s="22" t="s">
        <v>71</v>
      </c>
      <c r="B10" s="28">
        <f t="shared" ref="B10" si="0">B4*60/B9</f>
        <v>80.816326530612244</v>
      </c>
      <c r="C10" s="28">
        <f>C4*60/C9</f>
        <v>172.04301075268822</v>
      </c>
      <c r="D10" s="28">
        <f t="shared" ref="D10:E10" si="1">D4*60/D9</f>
        <v>215.05376344086025</v>
      </c>
      <c r="E10" s="28">
        <f t="shared" si="1"/>
        <v>371.31630648330065</v>
      </c>
    </row>
    <row r="11" spans="1:5" x14ac:dyDescent="0.25">
      <c r="A11" s="22" t="s">
        <v>72</v>
      </c>
      <c r="B11" s="29">
        <f>ROUNDUP('User Inputs'!$B$9/B10,0)</f>
        <v>4</v>
      </c>
      <c r="C11" s="29">
        <f>ROUNDUP('User Inputs'!$B$9/C10,0)</f>
        <v>2</v>
      </c>
      <c r="D11" s="29">
        <f>ROUNDUP('User Inputs'!$B$9/D10,0)</f>
        <v>2</v>
      </c>
      <c r="E11" s="29">
        <f>ROUNDUP('User Inputs'!$B$9/E10,0)</f>
        <v>1</v>
      </c>
    </row>
    <row r="12" spans="1:5" x14ac:dyDescent="0.25">
      <c r="A12" s="22" t="s">
        <v>11</v>
      </c>
      <c r="B12" s="29">
        <f t="shared" ref="B12" si="2">B5*B11</f>
        <v>12</v>
      </c>
      <c r="C12" s="29">
        <f t="shared" ref="C12:E12" si="3">C5*C11</f>
        <v>10</v>
      </c>
      <c r="D12" s="29">
        <f t="shared" si="3"/>
        <v>12</v>
      </c>
      <c r="E12" s="29">
        <f t="shared" si="3"/>
        <v>8</v>
      </c>
    </row>
    <row r="13" spans="1:5" x14ac:dyDescent="0.25">
      <c r="A13" s="4" t="s">
        <v>128</v>
      </c>
      <c r="B13" s="13">
        <f>B23+B30+B36+B42</f>
        <v>1140</v>
      </c>
      <c r="C13" s="13">
        <f t="shared" ref="C13:E13" si="4">C23+C30+C36+C42</f>
        <v>1140</v>
      </c>
      <c r="D13" s="13">
        <f t="shared" si="4"/>
        <v>1140</v>
      </c>
      <c r="E13" s="13">
        <f t="shared" si="4"/>
        <v>1140</v>
      </c>
    </row>
    <row r="14" spans="1:5" x14ac:dyDescent="0.25">
      <c r="A14" s="4" t="s">
        <v>79</v>
      </c>
      <c r="B14" s="13">
        <f>B24+B31+B37+B43</f>
        <v>3060</v>
      </c>
      <c r="C14" s="13">
        <f t="shared" ref="C14:E14" si="5">C24+C31+C37+C43</f>
        <v>1590</v>
      </c>
      <c r="D14" s="13">
        <f t="shared" si="5"/>
        <v>1590</v>
      </c>
      <c r="E14" s="13">
        <f t="shared" si="5"/>
        <v>1140</v>
      </c>
    </row>
    <row r="15" spans="1:5" x14ac:dyDescent="0.25">
      <c r="A15" s="190" t="s">
        <v>197</v>
      </c>
      <c r="B15" s="13"/>
      <c r="C15" s="13"/>
      <c r="D15" s="13"/>
      <c r="E15" s="13"/>
    </row>
    <row r="16" spans="1:5" ht="30" x14ac:dyDescent="0.25">
      <c r="A16" s="190" t="s">
        <v>198</v>
      </c>
      <c r="B16" s="13"/>
      <c r="C16" s="13"/>
      <c r="D16" s="13"/>
      <c r="E16" s="13"/>
    </row>
    <row r="17" spans="1:5" ht="30" x14ac:dyDescent="0.25">
      <c r="A17" s="190" t="s">
        <v>199</v>
      </c>
      <c r="B17" s="13"/>
      <c r="C17" s="13"/>
      <c r="D17" s="13"/>
      <c r="E17" s="13"/>
    </row>
    <row r="18" spans="1:5" ht="6.75" customHeight="1" x14ac:dyDescent="0.25"/>
    <row r="19" spans="1:5" ht="15" customHeight="1" x14ac:dyDescent="0.25">
      <c r="A19" s="123" t="s">
        <v>121</v>
      </c>
      <c r="B19" s="424" t="s">
        <v>192</v>
      </c>
      <c r="C19" s="425"/>
      <c r="D19" s="425"/>
      <c r="E19" s="425"/>
    </row>
    <row r="20" spans="1:5" s="9" customFormat="1" x14ac:dyDescent="0.25">
      <c r="A20" s="22" t="s">
        <v>122</v>
      </c>
      <c r="B20" s="29">
        <f>ROUNDUP('User Inputs'!$B$9/B10,0)</f>
        <v>4</v>
      </c>
      <c r="C20" s="29">
        <f>ROUNDUP('User Inputs'!$B$9/C10,0)</f>
        <v>2</v>
      </c>
      <c r="D20" s="29">
        <f>ROUNDUP('User Inputs'!$B$9/D10,0)</f>
        <v>2</v>
      </c>
      <c r="E20" s="29">
        <f>ROUNDUP('User Inputs'!$B$9/E10,0)</f>
        <v>1</v>
      </c>
    </row>
    <row r="21" spans="1:5" x14ac:dyDescent="0.25">
      <c r="A21" s="22" t="s">
        <v>123</v>
      </c>
      <c r="B21" s="29">
        <f t="shared" ref="B21" si="6">+B20*B5</f>
        <v>12</v>
      </c>
      <c r="C21" s="29">
        <f t="shared" ref="C21:E21" si="7">+C20*C5</f>
        <v>10</v>
      </c>
      <c r="D21" s="29">
        <f t="shared" si="7"/>
        <v>12</v>
      </c>
      <c r="E21" s="29">
        <f t="shared" si="7"/>
        <v>8</v>
      </c>
    </row>
    <row r="22" spans="1:5" x14ac:dyDescent="0.25">
      <c r="A22" s="22" t="s">
        <v>12</v>
      </c>
      <c r="B22" s="28">
        <f>B$9/B20</f>
        <v>18.375</v>
      </c>
      <c r="C22" s="28">
        <f t="shared" ref="C22:E22" si="8">C$9/C20</f>
        <v>34.874999999999993</v>
      </c>
      <c r="D22" s="28">
        <f t="shared" si="8"/>
        <v>34.874999999999993</v>
      </c>
      <c r="E22" s="28">
        <f t="shared" si="8"/>
        <v>56.55555555555555</v>
      </c>
    </row>
    <row r="23" spans="1:5" x14ac:dyDescent="0.25">
      <c r="A23" s="90" t="s">
        <v>124</v>
      </c>
      <c r="B23" s="149">
        <f>+'User Inputs'!$B$8*'User Inputs'!$B$11/2</f>
        <v>450</v>
      </c>
      <c r="C23" s="149">
        <f>+'User Inputs'!$B$8*'User Inputs'!$B$11/2</f>
        <v>450</v>
      </c>
      <c r="D23" s="149">
        <f>+'User Inputs'!$B$8*'User Inputs'!$B$11/2</f>
        <v>450</v>
      </c>
      <c r="E23" s="149">
        <f>+'User Inputs'!$B$8*'User Inputs'!$B$11/2</f>
        <v>450</v>
      </c>
    </row>
    <row r="24" spans="1:5" x14ac:dyDescent="0.25">
      <c r="A24" s="90" t="s">
        <v>29</v>
      </c>
      <c r="B24" s="149">
        <f>+B23*B20</f>
        <v>1800</v>
      </c>
      <c r="C24" s="149">
        <f t="shared" ref="C24:E24" si="9">+C23*C20</f>
        <v>900</v>
      </c>
      <c r="D24" s="149">
        <f t="shared" si="9"/>
        <v>900</v>
      </c>
      <c r="E24" s="149">
        <f t="shared" si="9"/>
        <v>450</v>
      </c>
    </row>
    <row r="25" spans="1:5" x14ac:dyDescent="0.25">
      <c r="A25" s="22" t="s">
        <v>13</v>
      </c>
      <c r="B25" s="195">
        <f>B10*B11</f>
        <v>323.26530612244898</v>
      </c>
      <c r="C25" s="195">
        <f t="shared" ref="C25:E25" si="10">C10*C11</f>
        <v>344.08602150537644</v>
      </c>
      <c r="D25" s="195">
        <f t="shared" si="10"/>
        <v>430.1075268817205</v>
      </c>
      <c r="E25" s="195">
        <f t="shared" si="10"/>
        <v>371.31630648330065</v>
      </c>
    </row>
    <row r="26" spans="1:5" x14ac:dyDescent="0.25">
      <c r="A26" s="123" t="s">
        <v>125</v>
      </c>
      <c r="B26" s="11"/>
      <c r="C26" s="11"/>
      <c r="D26" s="11"/>
      <c r="E26" s="11"/>
    </row>
    <row r="27" spans="1:5" x14ac:dyDescent="0.25">
      <c r="A27" s="22" t="s">
        <v>122</v>
      </c>
      <c r="B27" s="29">
        <f>ROUNDUP(('User Inputs'!$B$9/2)/B10,0)</f>
        <v>2</v>
      </c>
      <c r="C27" s="29">
        <f>ROUNDUP(('User Inputs'!$B$9/2)/C10,0)</f>
        <v>1</v>
      </c>
      <c r="D27" s="29">
        <f>ROUNDUP(('User Inputs'!$B$9/2)/D10,0)</f>
        <v>1</v>
      </c>
      <c r="E27" s="29">
        <f>ROUNDUP(('User Inputs'!$B$9/2)/E10,0)</f>
        <v>1</v>
      </c>
    </row>
    <row r="28" spans="1:5" x14ac:dyDescent="0.25">
      <c r="A28" s="22" t="s">
        <v>123</v>
      </c>
      <c r="B28" s="29">
        <f t="shared" ref="B28" si="11">+B27*B$5</f>
        <v>6</v>
      </c>
      <c r="C28" s="29">
        <f t="shared" ref="C28:E28" si="12">+C27*C$5</f>
        <v>5</v>
      </c>
      <c r="D28" s="29">
        <f t="shared" si="12"/>
        <v>6</v>
      </c>
      <c r="E28" s="29">
        <f t="shared" si="12"/>
        <v>8</v>
      </c>
    </row>
    <row r="29" spans="1:5" x14ac:dyDescent="0.25">
      <c r="A29" s="22" t="s">
        <v>12</v>
      </c>
      <c r="B29" s="28">
        <f t="shared" ref="B29" si="13">B$9/B27</f>
        <v>36.75</v>
      </c>
      <c r="C29" s="28">
        <f t="shared" ref="C29:E29" si="14">C$9/C27</f>
        <v>69.749999999999986</v>
      </c>
      <c r="D29" s="28">
        <f t="shared" si="14"/>
        <v>69.749999999999986</v>
      </c>
      <c r="E29" s="28">
        <f t="shared" si="14"/>
        <v>56.55555555555555</v>
      </c>
    </row>
    <row r="30" spans="1:5" x14ac:dyDescent="0.25">
      <c r="A30" s="90" t="s">
        <v>124</v>
      </c>
      <c r="B30" s="149">
        <f>B23</f>
        <v>450</v>
      </c>
      <c r="C30" s="149">
        <f t="shared" ref="C30:E30" si="15">C23</f>
        <v>450</v>
      </c>
      <c r="D30" s="149">
        <f t="shared" si="15"/>
        <v>450</v>
      </c>
      <c r="E30" s="149">
        <f t="shared" si="15"/>
        <v>450</v>
      </c>
    </row>
    <row r="31" spans="1:5" x14ac:dyDescent="0.25">
      <c r="A31" s="90" t="s">
        <v>29</v>
      </c>
      <c r="B31" s="149">
        <f>+B30*B27</f>
        <v>900</v>
      </c>
      <c r="C31" s="149">
        <f t="shared" ref="C31:E31" si="16">+C30*C27</f>
        <v>450</v>
      </c>
      <c r="D31" s="149">
        <f t="shared" si="16"/>
        <v>450</v>
      </c>
      <c r="E31" s="149">
        <f t="shared" si="16"/>
        <v>450</v>
      </c>
    </row>
    <row r="32" spans="1:5" ht="15" customHeight="1" x14ac:dyDescent="0.25">
      <c r="A32" s="123" t="s">
        <v>126</v>
      </c>
      <c r="B32" s="424" t="s">
        <v>192</v>
      </c>
      <c r="C32" s="425"/>
      <c r="D32" s="425"/>
      <c r="E32" s="425"/>
    </row>
    <row r="33" spans="1:5" x14ac:dyDescent="0.25">
      <c r="A33" s="22" t="s">
        <v>122</v>
      </c>
      <c r="B33" s="29">
        <f>ROUNDUP('User Inputs'!$B$14/B10,0)</f>
        <v>2</v>
      </c>
      <c r="C33" s="29">
        <f>ROUNDUP('User Inputs'!$B$14/C10,0)</f>
        <v>1</v>
      </c>
      <c r="D33" s="29">
        <f>ROUNDUP('User Inputs'!$B$14/D10,0)</f>
        <v>1</v>
      </c>
      <c r="E33" s="29">
        <f>ROUNDUP('User Inputs'!$B$14/E10,0)</f>
        <v>1</v>
      </c>
    </row>
    <row r="34" spans="1:5" x14ac:dyDescent="0.25">
      <c r="A34" s="22" t="s">
        <v>123</v>
      </c>
      <c r="B34" s="29">
        <f t="shared" ref="B34" si="17">+B33*B5</f>
        <v>6</v>
      </c>
      <c r="C34" s="29">
        <f t="shared" ref="C34:E34" si="18">+C33*C5</f>
        <v>5</v>
      </c>
      <c r="D34" s="29">
        <f t="shared" si="18"/>
        <v>6</v>
      </c>
      <c r="E34" s="29">
        <f t="shared" si="18"/>
        <v>8</v>
      </c>
    </row>
    <row r="35" spans="1:5" x14ac:dyDescent="0.25">
      <c r="A35" s="22" t="s">
        <v>12</v>
      </c>
      <c r="B35" s="28">
        <f t="shared" ref="B35" si="19">B$9/B33</f>
        <v>36.75</v>
      </c>
      <c r="C35" s="28">
        <f t="shared" ref="C35:E35" si="20">C$9/C33</f>
        <v>69.749999999999986</v>
      </c>
      <c r="D35" s="28">
        <f t="shared" si="20"/>
        <v>69.749999999999986</v>
      </c>
      <c r="E35" s="28">
        <f t="shared" si="20"/>
        <v>56.55555555555555</v>
      </c>
    </row>
    <row r="36" spans="1:5" x14ac:dyDescent="0.25">
      <c r="A36" s="90" t="s">
        <v>124</v>
      </c>
      <c r="B36" s="244">
        <f>+'User Inputs'!$B$13*'User Inputs'!$B$16/2</f>
        <v>120</v>
      </c>
      <c r="C36" s="244">
        <f>+'User Inputs'!$B$13*'User Inputs'!$B$16/2</f>
        <v>120</v>
      </c>
      <c r="D36" s="244">
        <f>+'User Inputs'!$B$13*'User Inputs'!$B$16/2</f>
        <v>120</v>
      </c>
      <c r="E36" s="244">
        <f>+'User Inputs'!$B$13*'User Inputs'!$B$16/2</f>
        <v>120</v>
      </c>
    </row>
    <row r="37" spans="1:5" x14ac:dyDescent="0.25">
      <c r="A37" s="90" t="s">
        <v>29</v>
      </c>
      <c r="B37" s="244">
        <f>+B36*B33</f>
        <v>240</v>
      </c>
      <c r="C37" s="244">
        <f t="shared" ref="C37:E37" si="21">+C36*C33</f>
        <v>120</v>
      </c>
      <c r="D37" s="244">
        <f t="shared" si="21"/>
        <v>120</v>
      </c>
      <c r="E37" s="244">
        <f t="shared" si="21"/>
        <v>120</v>
      </c>
    </row>
    <row r="38" spans="1:5" x14ac:dyDescent="0.25">
      <c r="A38" s="123" t="s">
        <v>127</v>
      </c>
      <c r="B38" s="245"/>
      <c r="C38" s="245"/>
      <c r="D38" s="245"/>
      <c r="E38" s="245"/>
    </row>
    <row r="39" spans="1:5" x14ac:dyDescent="0.25">
      <c r="A39" s="22" t="s">
        <v>122</v>
      </c>
      <c r="B39" s="246">
        <f>ROUNDUP(('User Inputs'!$B$14/2)/B10,0)</f>
        <v>1</v>
      </c>
      <c r="C39" s="246">
        <f>ROUNDUP(('User Inputs'!$B$14/2)/C10,0)</f>
        <v>1</v>
      </c>
      <c r="D39" s="246">
        <f>ROUNDUP(('User Inputs'!$B$14/2)/D10,0)</f>
        <v>1</v>
      </c>
      <c r="E39" s="246">
        <f>ROUNDUP(('User Inputs'!$B$14/2)/E10,0)</f>
        <v>1</v>
      </c>
    </row>
    <row r="40" spans="1:5" x14ac:dyDescent="0.25">
      <c r="A40" s="22" t="s">
        <v>123</v>
      </c>
      <c r="B40" s="246">
        <f t="shared" ref="B40" si="22">+B39*B$5</f>
        <v>3</v>
      </c>
      <c r="C40" s="246">
        <f t="shared" ref="C40:E40" si="23">+C39*C$5</f>
        <v>5</v>
      </c>
      <c r="D40" s="246">
        <f t="shared" si="23"/>
        <v>6</v>
      </c>
      <c r="E40" s="246">
        <f t="shared" si="23"/>
        <v>8</v>
      </c>
    </row>
    <row r="41" spans="1:5" x14ac:dyDescent="0.25">
      <c r="A41" s="22" t="s">
        <v>12</v>
      </c>
      <c r="B41" s="247">
        <f t="shared" ref="B41" si="24">B$9/B39</f>
        <v>73.5</v>
      </c>
      <c r="C41" s="247">
        <f t="shared" ref="C41:E41" si="25">C$9/C39</f>
        <v>69.749999999999986</v>
      </c>
      <c r="D41" s="247">
        <f t="shared" si="25"/>
        <v>69.749999999999986</v>
      </c>
      <c r="E41" s="247">
        <f t="shared" si="25"/>
        <v>56.55555555555555</v>
      </c>
    </row>
    <row r="42" spans="1:5" x14ac:dyDescent="0.25">
      <c r="A42" s="90" t="s">
        <v>124</v>
      </c>
      <c r="B42" s="244">
        <f>B36</f>
        <v>120</v>
      </c>
      <c r="C42" s="244">
        <f t="shared" ref="C42:E42" si="26">C36</f>
        <v>120</v>
      </c>
      <c r="D42" s="244">
        <f t="shared" si="26"/>
        <v>120</v>
      </c>
      <c r="E42" s="244">
        <f t="shared" si="26"/>
        <v>120</v>
      </c>
    </row>
    <row r="43" spans="1:5" x14ac:dyDescent="0.25">
      <c r="A43" s="90" t="s">
        <v>29</v>
      </c>
      <c r="B43" s="244">
        <f>+B42*B39</f>
        <v>120</v>
      </c>
      <c r="C43" s="244">
        <f t="shared" ref="C43:E43" si="27">+C42*C39</f>
        <v>120</v>
      </c>
      <c r="D43" s="244">
        <f t="shared" si="27"/>
        <v>120</v>
      </c>
      <c r="E43" s="244">
        <f t="shared" si="27"/>
        <v>120</v>
      </c>
    </row>
    <row r="44" spans="1:5" x14ac:dyDescent="0.25">
      <c r="B44" s="11"/>
      <c r="C44" s="11"/>
      <c r="D44" s="11"/>
      <c r="E44" s="11"/>
    </row>
    <row r="45" spans="1:5" x14ac:dyDescent="0.25">
      <c r="B45" s="11"/>
      <c r="C45" s="11"/>
      <c r="D45" s="11"/>
      <c r="E45" s="11"/>
    </row>
    <row r="47" spans="1:5" x14ac:dyDescent="0.25">
      <c r="A47" s="88"/>
      <c r="B47" s="41"/>
      <c r="C47" s="41"/>
      <c r="D47" s="41"/>
      <c r="E47" s="41"/>
    </row>
  </sheetData>
  <sheetProtection password="EF95" sheet="1" objects="1" scenarios="1"/>
  <mergeCells count="2">
    <mergeCell ref="B19:E19"/>
    <mergeCell ref="B32:E32"/>
  </mergeCells>
  <pageMargins left="0.25" right="0.25" top="0.75" bottom="0.75" header="0.3" footer="0.3"/>
  <pageSetup orientation="landscape" r:id="rId1"/>
  <headerFooter>
    <oddHeader xml:space="preserve">&amp;CService and Fleet Characteristics
</oddHeader>
    <oddFooter>&amp;C&amp;D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6"/>
  <sheetViews>
    <sheetView view="pageLayout" zoomScale="90" zoomScaleNormal="100" zoomScalePageLayoutView="90" workbookViewId="0">
      <selection sqref="A1:A3"/>
    </sheetView>
  </sheetViews>
  <sheetFormatPr defaultRowHeight="15" x14ac:dyDescent="0.25"/>
  <cols>
    <col min="1" max="1" width="28" customWidth="1"/>
    <col min="2" max="2" width="3.5703125" customWidth="1"/>
    <col min="3" max="3" width="13.85546875" bestFit="1" customWidth="1"/>
    <col min="4" max="4" width="13.7109375" customWidth="1"/>
    <col min="5" max="5" width="14.140625" customWidth="1"/>
    <col min="6" max="6" width="15.140625" bestFit="1" customWidth="1"/>
    <col min="7" max="7" width="42.42578125" style="9" customWidth="1"/>
    <col min="8" max="8" width="5.28515625" bestFit="1" customWidth="1"/>
    <col min="9" max="9" width="3.140625" bestFit="1" customWidth="1"/>
    <col min="10" max="10" width="12.85546875" bestFit="1" customWidth="1"/>
    <col min="11" max="12" width="13.85546875" bestFit="1" customWidth="1"/>
    <col min="13" max="13" width="15.140625" bestFit="1" customWidth="1"/>
    <col min="14" max="14" width="1.7109375" style="9" customWidth="1"/>
    <col min="15" max="15" width="5.5703125" bestFit="1" customWidth="1"/>
    <col min="16" max="17" width="13.85546875" bestFit="1" customWidth="1"/>
    <col min="18" max="19" width="15.140625" bestFit="1" customWidth="1"/>
  </cols>
  <sheetData>
    <row r="1" spans="1:20" ht="24.75" x14ac:dyDescent="0.25">
      <c r="A1" s="115" t="s">
        <v>92</v>
      </c>
      <c r="B1" s="2"/>
      <c r="C1" s="201" t="str">
        <f>'Vessel Data'!K3</f>
        <v>RORO &lt;100 Pax, &lt;10 Veh</v>
      </c>
      <c r="D1" s="201" t="str">
        <f>'Vessel Data'!L3</f>
        <v>RORO &lt;500 Pax, &lt;10 Veh</v>
      </c>
      <c r="E1" s="201" t="str">
        <f>'Vessel Data'!M3</f>
        <v>RORO &lt;500 Pax, &lt;50 Veh</v>
      </c>
      <c r="F1" s="201" t="str">
        <f>'Vessel Data'!N3</f>
        <v>RORO 250-500 Pax, 45-100 Veh</v>
      </c>
      <c r="G1" s="250"/>
      <c r="H1" s="115" t="s">
        <v>90</v>
      </c>
      <c r="I1" s="2"/>
      <c r="J1" s="201" t="str">
        <f>C1</f>
        <v>RORO &lt;100 Pax, &lt;10 Veh</v>
      </c>
      <c r="K1" s="201" t="str">
        <f t="shared" ref="K1:M1" si="0">D1</f>
        <v>RORO &lt;500 Pax, &lt;10 Veh</v>
      </c>
      <c r="L1" s="201" t="str">
        <f t="shared" si="0"/>
        <v>RORO &lt;500 Pax, &lt;50 Veh</v>
      </c>
      <c r="M1" s="201" t="str">
        <f t="shared" si="0"/>
        <v>RORO 250-500 Pax, 45-100 Veh</v>
      </c>
      <c r="N1" s="250"/>
      <c r="O1" s="257" t="s">
        <v>91</v>
      </c>
      <c r="P1" s="201" t="str">
        <f>J1</f>
        <v>RORO &lt;100 Pax, &lt;10 Veh</v>
      </c>
      <c r="Q1" s="201" t="str">
        <f>K1</f>
        <v>RORO &lt;500 Pax, &lt;10 Veh</v>
      </c>
      <c r="R1" s="201" t="str">
        <f>L1</f>
        <v>RORO &lt;500 Pax, &lt;50 Veh</v>
      </c>
      <c r="S1" s="201" t="str">
        <f>M1</f>
        <v>RORO 250-500 Pax, 45-100 Veh</v>
      </c>
    </row>
    <row r="2" spans="1:20" x14ac:dyDescent="0.25">
      <c r="A2" s="200" t="s">
        <v>189</v>
      </c>
      <c r="C2" s="189">
        <f>'User Inputs'!$B8*'RORO Service Overview'!B20+'User Inputs'!$B13*'RORO Service Overview'!B33+IF('User Inputs'!$E16="yes",('User Inputs'!$B8+'User Inputs'!$B13),0)</f>
        <v>522</v>
      </c>
      <c r="D2" s="189">
        <f>'User Inputs'!$B8*'RORO Service Overview'!C20+'User Inputs'!$B13*'RORO Service Overview'!C33+IF('User Inputs'!$E16="yes",('User Inputs'!$B8+'User Inputs'!$B13),0)</f>
        <v>318</v>
      </c>
      <c r="E2" s="189">
        <f>'User Inputs'!$B8*'RORO Service Overview'!D20+'User Inputs'!$B13*'RORO Service Overview'!D33+IF('User Inputs'!$E16="yes",('User Inputs'!$B8+'User Inputs'!$B13),0)</f>
        <v>318</v>
      </c>
      <c r="F2" s="189">
        <f>'User Inputs'!$B8*'RORO Service Overview'!E20+'User Inputs'!$B13*'RORO Service Overview'!E33+IF('User Inputs'!$E16="yes",('User Inputs'!$B8+'User Inputs'!$B13),0)</f>
        <v>228</v>
      </c>
      <c r="G2" s="251"/>
      <c r="H2" s="51"/>
      <c r="I2" s="124"/>
      <c r="J2" s="258"/>
      <c r="K2" s="258"/>
      <c r="L2" s="258"/>
      <c r="M2" s="258"/>
      <c r="N2" s="256"/>
      <c r="O2" s="259"/>
      <c r="P2" s="250"/>
      <c r="Q2" s="250"/>
      <c r="R2" s="250"/>
      <c r="S2" s="250"/>
      <c r="T2" s="9"/>
    </row>
    <row r="3" spans="1:20" x14ac:dyDescent="0.25">
      <c r="A3" s="39" t="s">
        <v>188</v>
      </c>
      <c r="B3" s="124"/>
      <c r="C3" s="189">
        <f>IF('User Inputs'!$B17="Yes",'User Inputs'!$B13*('RORO Service Overview'!B20-'RORO Service Overview'!B33)+'User Inputs'!$B20*'RORO Service Overview'!B11+IF('User Inputs'!$E16="yes",'User Inputs'!$B20,0),'User Inputs'!$B20*'RORO Service Overview'!B11+IF('User Inputs'!$E16="yes",'User Inputs'!$B20,0))</f>
        <v>948</v>
      </c>
      <c r="D3" s="189">
        <f>IF('User Inputs'!$B17="Yes",'User Inputs'!$B13*('RORO Service Overview'!C20-'RORO Service Overview'!C33)+'User Inputs'!$B20*'RORO Service Overview'!C11+IF('User Inputs'!$E16="yes",'User Inputs'!$B20,0),'User Inputs'!$B20*'RORO Service Overview'!C11+IF('User Inputs'!$E16="yes",'User Inputs'!$B20,0))</f>
        <v>564</v>
      </c>
      <c r="E3" s="189">
        <f>IF('User Inputs'!$B17="Yes",'User Inputs'!$B13*('RORO Service Overview'!D20-'RORO Service Overview'!D33)+'User Inputs'!$B20*'RORO Service Overview'!D11+IF('User Inputs'!$E16="yes",'User Inputs'!$B20,0),'User Inputs'!$B20*'RORO Service Overview'!D11+IF('User Inputs'!$E16="yes",'User Inputs'!$B20,0))</f>
        <v>564</v>
      </c>
      <c r="F3" s="189">
        <f>IF('User Inputs'!$B17="Yes",'User Inputs'!$B13*('RORO Service Overview'!E20-'RORO Service Overview'!E33)+'User Inputs'!$B20*'RORO Service Overview'!E11+IF('User Inputs'!$E16="yes",'User Inputs'!$B20,0),'User Inputs'!$B20*'RORO Service Overview'!E11+IF('User Inputs'!$E16="yes",'User Inputs'!$B20,0))</f>
        <v>360</v>
      </c>
      <c r="G3" s="251"/>
      <c r="H3" s="202"/>
      <c r="I3" s="191"/>
      <c r="J3" s="256"/>
      <c r="K3" s="256"/>
      <c r="L3" s="256"/>
      <c r="M3" s="256"/>
      <c r="N3" s="256"/>
      <c r="O3" s="259"/>
      <c r="P3" s="250"/>
      <c r="Q3" s="250"/>
      <c r="R3" s="250"/>
      <c r="S3" s="250"/>
      <c r="T3" s="9"/>
    </row>
    <row r="4" spans="1:20" ht="27" customHeight="1" x14ac:dyDescent="0.25">
      <c r="A4" s="39" t="s">
        <v>130</v>
      </c>
      <c r="B4" s="124"/>
      <c r="C4" s="193">
        <f>C2/(C2+C3)</f>
        <v>0.35510204081632651</v>
      </c>
      <c r="D4" s="193">
        <f t="shared" ref="D4:F4" si="1">D2/(D2+D3)</f>
        <v>0.36054421768707484</v>
      </c>
      <c r="E4" s="193">
        <f t="shared" si="1"/>
        <v>0.36054421768707484</v>
      </c>
      <c r="F4" s="193">
        <f t="shared" si="1"/>
        <v>0.38775510204081631</v>
      </c>
      <c r="G4" s="252"/>
      <c r="H4" s="9"/>
      <c r="I4" s="9"/>
      <c r="J4" s="9"/>
      <c r="K4" s="9"/>
      <c r="L4" s="9"/>
      <c r="M4" s="9"/>
      <c r="O4" s="9"/>
      <c r="P4" s="9"/>
      <c r="Q4" s="9"/>
      <c r="R4" s="9"/>
      <c r="S4" s="9"/>
      <c r="T4" s="9"/>
    </row>
    <row r="5" spans="1:20" s="9" customFormat="1" ht="6.75" customHeight="1" x14ac:dyDescent="0.25">
      <c r="A5" s="105"/>
      <c r="B5" s="98"/>
      <c r="C5" s="35"/>
      <c r="D5" s="35"/>
      <c r="E5" s="35"/>
      <c r="F5" s="35"/>
      <c r="G5" s="248"/>
      <c r="H5" s="101"/>
      <c r="I5" s="100"/>
      <c r="J5" s="35"/>
      <c r="K5" s="35"/>
      <c r="L5" s="35"/>
      <c r="M5" s="35"/>
      <c r="N5" s="248"/>
      <c r="O5" s="101"/>
      <c r="P5" s="35"/>
      <c r="Q5" s="35"/>
      <c r="R5" s="35"/>
      <c r="S5" s="35"/>
    </row>
    <row r="6" spans="1:20" s="9" customFormat="1" ht="15.75" customHeight="1" x14ac:dyDescent="0.25">
      <c r="A6" s="51" t="s">
        <v>185</v>
      </c>
      <c r="B6" s="98"/>
      <c r="C6" s="14">
        <f>AVERAGE(J6,P6)</f>
        <v>2482500</v>
      </c>
      <c r="D6" s="14">
        <f>AVERAGE(K6,Q6)</f>
        <v>4468500</v>
      </c>
      <c r="E6" s="14">
        <f>AVERAGE(L6,R6)</f>
        <v>10343750</v>
      </c>
      <c r="F6" s="14">
        <f>AVERAGE(M6,S6)</f>
        <v>28135000</v>
      </c>
      <c r="G6" s="248"/>
      <c r="H6" s="4"/>
      <c r="I6" s="100"/>
      <c r="J6" s="14">
        <f>'Vessel Data'!K23*('User Inputs'!$E24)</f>
        <v>827500</v>
      </c>
      <c r="K6" s="14">
        <f>'Vessel Data'!L23*('User Inputs'!$E24)</f>
        <v>2730750</v>
      </c>
      <c r="L6" s="14">
        <f>'Vessel Data'!M23*('User Inputs'!$E24)</f>
        <v>5792500</v>
      </c>
      <c r="M6" s="14">
        <f>'Vessel Data'!N23*('User Inputs'!$E24)</f>
        <v>20687500</v>
      </c>
      <c r="N6" s="248"/>
      <c r="O6" s="101"/>
      <c r="P6" s="14">
        <f>'Vessel Data'!K24*('User Inputs'!$E24)</f>
        <v>4137500</v>
      </c>
      <c r="Q6" s="14">
        <f>'Vessel Data'!L24*('User Inputs'!$E24)</f>
        <v>6206250</v>
      </c>
      <c r="R6" s="14">
        <f>'Vessel Data'!M24*('User Inputs'!$E24)</f>
        <v>14895000</v>
      </c>
      <c r="S6" s="14">
        <f>'Vessel Data'!N24*('User Inputs'!$E24)</f>
        <v>35582500</v>
      </c>
    </row>
    <row r="7" spans="1:20" x14ac:dyDescent="0.25">
      <c r="A7" s="4" t="s">
        <v>131</v>
      </c>
      <c r="B7" s="93"/>
      <c r="C7" s="14">
        <f>IF('User Inputs'!$E$16="Yes",-1*C6*('RORO Service Overview'!B11+1),-1*C6*'RORO Service Overview'!B11)</f>
        <v>-12412500</v>
      </c>
      <c r="D7" s="14">
        <f>IF('User Inputs'!$E$16="Yes",-1*D6*('RORO Service Overview'!C11+1),-1*D6*'RORO Service Overview'!C11)</f>
        <v>-13405500</v>
      </c>
      <c r="E7" s="14">
        <f>IF('User Inputs'!$E$16="Yes",-1*E6*('RORO Service Overview'!D11+1),-1*E6*'RORO Service Overview'!D11)</f>
        <v>-31031250</v>
      </c>
      <c r="F7" s="14">
        <f>IF('User Inputs'!$E$16="Yes",-1*F6*('RORO Service Overview'!E11+1),-1*F6*'RORO Service Overview'!E11)</f>
        <v>-56270000</v>
      </c>
      <c r="G7" s="248"/>
      <c r="H7" s="4"/>
      <c r="I7" s="92"/>
      <c r="J7" s="14">
        <f>IF('User Inputs'!$E$16="Yes",-1*J6*('RORO Service Overview'!B11+1),-1*J6*'RORO Service Overview'!B11)</f>
        <v>-4137500</v>
      </c>
      <c r="K7" s="14">
        <f>IF('User Inputs'!$E$16="Yes",-1*K6*('RORO Service Overview'!C11+1),-1*K6*'RORO Service Overview'!C11)</f>
        <v>-8192250</v>
      </c>
      <c r="L7" s="14">
        <f>IF('User Inputs'!$E$16="Yes",-1*L6*('RORO Service Overview'!D11+1),-1*L6*'RORO Service Overview'!D11)</f>
        <v>-17377500</v>
      </c>
      <c r="M7" s="14">
        <f>IF('User Inputs'!$E$16="Yes",-1*M6*('RORO Service Overview'!E11+1),-1*M6*'RORO Service Overview'!E11)</f>
        <v>-41375000</v>
      </c>
      <c r="N7" s="248"/>
      <c r="O7" s="4"/>
      <c r="P7" s="14">
        <f>IF('User Inputs'!$E$16="Yes",-1*P6*('RORO Service Overview'!B11+1),-1*P6*'RORO Service Overview'!B11)</f>
        <v>-20687500</v>
      </c>
      <c r="Q7" s="14">
        <f>IF('User Inputs'!$E$16="Yes",-1*Q6*('RORO Service Overview'!C11+1),-1*Q6*'RORO Service Overview'!C11)</f>
        <v>-18618750</v>
      </c>
      <c r="R7" s="14">
        <f>IF('User Inputs'!$E$16="Yes",-1*R6*('RORO Service Overview'!D11+1),-1*R6*'RORO Service Overview'!D11)</f>
        <v>-44685000</v>
      </c>
      <c r="S7" s="14">
        <f>IF('User Inputs'!$E$16="Yes",-1*S6*('RORO Service Overview'!E11+1),-1*S6*'RORO Service Overview'!E11)</f>
        <v>-71165000</v>
      </c>
    </row>
    <row r="8" spans="1:20" ht="27" customHeight="1" x14ac:dyDescent="0.25">
      <c r="A8" s="70" t="s">
        <v>73</v>
      </c>
      <c r="B8" s="93" t="s">
        <v>145</v>
      </c>
      <c r="C8" s="91">
        <f>C7*C$4</f>
        <v>-4407704.0816326533</v>
      </c>
      <c r="D8" s="91">
        <f t="shared" ref="D8:F8" si="2">D7*D$4</f>
        <v>-4833275.5102040814</v>
      </c>
      <c r="E8" s="91">
        <f t="shared" si="2"/>
        <v>-11188137.755102042</v>
      </c>
      <c r="F8" s="91">
        <f t="shared" si="2"/>
        <v>-21818979.591836736</v>
      </c>
      <c r="G8" s="253"/>
      <c r="H8" s="70"/>
      <c r="I8" s="92"/>
      <c r="J8" s="91">
        <f>J7*C$4</f>
        <v>-1469234.693877551</v>
      </c>
      <c r="K8" s="91">
        <f>K7*D$4</f>
        <v>-2953668.3673469387</v>
      </c>
      <c r="L8" s="91">
        <f>L7*E$4</f>
        <v>-6265357.1428571427</v>
      </c>
      <c r="M8" s="91">
        <f>M7*F$4</f>
        <v>-16043367.346938776</v>
      </c>
      <c r="N8" s="253"/>
      <c r="O8" s="70"/>
      <c r="P8" s="91">
        <f>P7*C$4</f>
        <v>-7346173.4693877548</v>
      </c>
      <c r="Q8" s="91">
        <f>Q7*D$4</f>
        <v>-6712882.6530612251</v>
      </c>
      <c r="R8" s="91">
        <f>R7*E$4</f>
        <v>-16110918.367346939</v>
      </c>
      <c r="S8" s="91">
        <f>S7*F$4</f>
        <v>-27594591.836734693</v>
      </c>
    </row>
    <row r="9" spans="1:20" x14ac:dyDescent="0.25">
      <c r="A9" s="39" t="s">
        <v>50</v>
      </c>
      <c r="B9" s="72"/>
      <c r="C9" s="14">
        <f>-'User Inputs'!$E17*C8</f>
        <v>881540.81632653065</v>
      </c>
      <c r="D9" s="14">
        <f>-'User Inputs'!$E17*D8</f>
        <v>966655.10204081633</v>
      </c>
      <c r="E9" s="14">
        <f>-'User Inputs'!$E17*E8</f>
        <v>2237627.5510204085</v>
      </c>
      <c r="F9" s="14">
        <f>-'User Inputs'!$E17*F8</f>
        <v>4363795.9183673477</v>
      </c>
      <c r="G9" s="248"/>
      <c r="H9" s="39"/>
      <c r="I9" s="72"/>
      <c r="J9" s="69">
        <f>-'User Inputs'!$E$17*'RORO Capital'!J8</f>
        <v>293846.93877551024</v>
      </c>
      <c r="K9" s="69">
        <f>-'User Inputs'!$E$17*'RORO Capital'!K8</f>
        <v>590733.67346938781</v>
      </c>
      <c r="L9" s="69">
        <f>-'User Inputs'!$E$17*'RORO Capital'!L8</f>
        <v>1253071.4285714286</v>
      </c>
      <c r="M9" s="69">
        <f>-'User Inputs'!$E$17*'RORO Capital'!M8</f>
        <v>3208673.4693877553</v>
      </c>
      <c r="N9" s="254"/>
      <c r="O9" s="39"/>
      <c r="P9" s="69">
        <f>-'User Inputs'!$E17*'RORO Capital'!P8</f>
        <v>1469234.693877551</v>
      </c>
      <c r="Q9" s="69">
        <f>-'User Inputs'!$E17*'RORO Capital'!Q8</f>
        <v>1342576.5306122452</v>
      </c>
      <c r="R9" s="69">
        <f>-'User Inputs'!$E17*'RORO Capital'!R8</f>
        <v>3222183.6734693879</v>
      </c>
      <c r="S9" s="69">
        <f>-'User Inputs'!$E17*'RORO Capital'!S8</f>
        <v>5518918.3673469387</v>
      </c>
    </row>
    <row r="10" spans="1:20" x14ac:dyDescent="0.25">
      <c r="A10" s="68" t="s">
        <v>46</v>
      </c>
      <c r="B10" s="71" t="s">
        <v>145</v>
      </c>
      <c r="C10" s="69">
        <f>IF('User Inputs'!$B2="New Service",-'Vessel Data'!K33/4,0)</f>
        <v>-21060</v>
      </c>
      <c r="D10" s="69">
        <f>IF('User Inputs'!$B2="New Service",-'Vessel Data'!L33/4,0)</f>
        <v>-21060</v>
      </c>
      <c r="E10" s="69">
        <f>IF('User Inputs'!$B2="New Service",-'Vessel Data'!M33/4,0)</f>
        <v>-21060</v>
      </c>
      <c r="F10" s="69">
        <f>IF('User Inputs'!$B2="New Service",-'Vessel Data'!N33/4,0)</f>
        <v>-21060</v>
      </c>
      <c r="G10" s="254"/>
      <c r="H10" s="68"/>
      <c r="I10" s="71"/>
      <c r="J10" s="69">
        <f>C10</f>
        <v>-21060</v>
      </c>
      <c r="K10" s="69">
        <f>D10</f>
        <v>-21060</v>
      </c>
      <c r="L10" s="69">
        <f>E10</f>
        <v>-21060</v>
      </c>
      <c r="M10" s="69">
        <f>F10</f>
        <v>-21060</v>
      </c>
      <c r="N10" s="254"/>
      <c r="O10" s="68"/>
      <c r="P10" s="69">
        <f>J10</f>
        <v>-21060</v>
      </c>
      <c r="Q10" s="69">
        <f>K10</f>
        <v>-21060</v>
      </c>
      <c r="R10" s="69">
        <f>L10</f>
        <v>-21060</v>
      </c>
      <c r="S10" s="69">
        <f>M10</f>
        <v>-21060</v>
      </c>
    </row>
    <row r="11" spans="1:20" ht="30" x14ac:dyDescent="0.25">
      <c r="A11" s="44" t="s">
        <v>47</v>
      </c>
      <c r="B11" s="95"/>
      <c r="C11" s="14">
        <f t="shared" ref="C11:F11" si="3">C8+C$10+C$9</f>
        <v>-3547223.2653061226</v>
      </c>
      <c r="D11" s="14">
        <f t="shared" si="3"/>
        <v>-3887680.4081632653</v>
      </c>
      <c r="E11" s="14">
        <f t="shared" si="3"/>
        <v>-8971570.2040816341</v>
      </c>
      <c r="F11" s="14">
        <f t="shared" si="3"/>
        <v>-17476243.673469387</v>
      </c>
      <c r="G11" s="248"/>
      <c r="H11" s="44"/>
      <c r="I11" s="95"/>
      <c r="J11" s="14">
        <f t="shared" ref="J11:M11" si="4">J8+J9+J10</f>
        <v>-1196447.7551020407</v>
      </c>
      <c r="K11" s="14">
        <f t="shared" si="4"/>
        <v>-2383994.6938775508</v>
      </c>
      <c r="L11" s="14">
        <f t="shared" si="4"/>
        <v>-5033345.7142857146</v>
      </c>
      <c r="M11" s="14">
        <f t="shared" si="4"/>
        <v>-12855753.877551021</v>
      </c>
      <c r="N11" s="248"/>
      <c r="O11" s="44"/>
      <c r="P11" s="14">
        <f>P8+P9+P10</f>
        <v>-5897998.775510204</v>
      </c>
      <c r="Q11" s="14">
        <f t="shared" ref="Q11:S11" si="5">Q8+Q9+Q10</f>
        <v>-5391366.1224489799</v>
      </c>
      <c r="R11" s="14">
        <f t="shared" si="5"/>
        <v>-12909794.693877552</v>
      </c>
      <c r="S11" s="14">
        <f t="shared" si="5"/>
        <v>-22096733.469387755</v>
      </c>
    </row>
    <row r="12" spans="1:20" x14ac:dyDescent="0.25">
      <c r="A12" s="106" t="s">
        <v>49</v>
      </c>
      <c r="B12" s="93"/>
      <c r="C12" s="14">
        <f>PMT('User Inputs'!$E$14/12,'User Inputs'!$E$13*12,C11)*12</f>
        <v>304960.91023459646</v>
      </c>
      <c r="D12" s="14">
        <f>PMT('User Inputs'!$E$14/12,'User Inputs'!$E$13*12,D11)*12</f>
        <v>334230.59878142783</v>
      </c>
      <c r="E12" s="14">
        <f>PMT('User Inputs'!$E$14/12,'User Inputs'!$E$13*12,E11)*12</f>
        <v>771301.38450256432</v>
      </c>
      <c r="F12" s="14">
        <f>PMT('User Inputs'!$E$14/12,'User Inputs'!$E$13*12,F11)*12</f>
        <v>1502462.8503847206</v>
      </c>
      <c r="G12" s="248"/>
      <c r="H12" s="43"/>
      <c r="I12" s="96"/>
      <c r="J12" s="14">
        <f>PMT('User Inputs'!$E$14/12,'User Inputs'!$E$13*12,'RORO Capital'!J11)*12</f>
        <v>102860.67979218948</v>
      </c>
      <c r="K12" s="14">
        <f>IF(K7="Not Valid"," ", PMT('User Inputs'!$E14/12,'User Inputs'!$E13*12,'RORO Capital'!K11)*12)</f>
        <v>204956.14103292266</v>
      </c>
      <c r="L12" s="14">
        <f>IF(L7="Not Valid"," ", PMT('User Inputs'!$E14/12,'User Inputs'!$E13*12,'RORO Capital'!L11)*12)</f>
        <v>432725.42373266991</v>
      </c>
      <c r="M12" s="14">
        <f>IF(M7="Not Valid"," ", PMT('User Inputs'!$E14/12,'User Inputs'!$E13*12,'RORO Capital'!M11)*12)</f>
        <v>1105231.362963438</v>
      </c>
      <c r="N12" s="248"/>
      <c r="O12" s="43"/>
      <c r="P12" s="14">
        <f>PMT('User Inputs'!$E$14/12,'User Inputs'!$E$13*12,'RORO Capital'!P11)*12</f>
        <v>507061.14067700342</v>
      </c>
      <c r="Q12" s="14">
        <f>PMT('User Inputs'!$E$14/12,'User Inputs'!$E$13*12,'RORO Capital'!Q11)*12</f>
        <v>463505.05652993306</v>
      </c>
      <c r="R12" s="14">
        <f>PMT('User Inputs'!$E$14/12,'User Inputs'!$E$13*12,'RORO Capital'!R11)*12</f>
        <v>1109877.3452724589</v>
      </c>
      <c r="S12" s="14">
        <f>PMT('User Inputs'!$E$14/12,'User Inputs'!$E$13*12,'RORO Capital'!S11)*12</f>
        <v>1899694.3378060032</v>
      </c>
    </row>
    <row r="13" spans="1:20" s="9" customFormat="1" x14ac:dyDescent="0.25">
      <c r="A13" s="4" t="s">
        <v>43</v>
      </c>
      <c r="B13" s="93" t="s">
        <v>144</v>
      </c>
      <c r="C13" s="14">
        <f>C8*('User Inputs'!$E$11)</f>
        <v>-101377.19387755102</v>
      </c>
      <c r="D13" s="14">
        <f>'RORO Capital'!D8*('User Inputs'!$E$11)</f>
        <v>-111165.33673469388</v>
      </c>
      <c r="E13" s="14">
        <f>'RORO Capital'!E8*('User Inputs'!$E$11)</f>
        <v>-257327.16836734695</v>
      </c>
      <c r="F13" s="14">
        <f>'RORO Capital'!F8*('User Inputs'!$E$11)</f>
        <v>-501836.53061224491</v>
      </c>
      <c r="G13" s="248"/>
      <c r="H13" s="4"/>
      <c r="I13" s="96"/>
      <c r="J13" s="14">
        <f>'RORO Capital'!J8*('User Inputs'!$E$11)</f>
        <v>-33792.397959183676</v>
      </c>
      <c r="K13" s="14">
        <f>'RORO Capital'!K8*('User Inputs'!$E11)</f>
        <v>-67934.372448979586</v>
      </c>
      <c r="L13" s="14">
        <f>'RORO Capital'!L8*('User Inputs'!$E11)</f>
        <v>-144103.21428571429</v>
      </c>
      <c r="M13" s="14">
        <f>'RORO Capital'!M8*('User Inputs'!$E11)</f>
        <v>-368997.44897959183</v>
      </c>
      <c r="N13" s="248"/>
      <c r="O13" s="4"/>
      <c r="P13" s="14">
        <f>'RORO Capital'!P8*('User Inputs'!$E$11)</f>
        <v>-168961.98979591834</v>
      </c>
      <c r="Q13" s="14">
        <f>'RORO Capital'!Q8*('User Inputs'!$E$11)</f>
        <v>-154396.30102040817</v>
      </c>
      <c r="R13" s="14">
        <f>'RORO Capital'!R8*('User Inputs'!$E$11)</f>
        <v>-370551.12244897959</v>
      </c>
      <c r="S13" s="14">
        <f>'RORO Capital'!S8*('User Inputs'!$E$11)</f>
        <v>-634675.61224489799</v>
      </c>
    </row>
    <row r="14" spans="1:20" ht="6" customHeight="1" x14ac:dyDescent="0.25">
      <c r="A14" s="102"/>
      <c r="B14" s="103"/>
      <c r="C14" s="104"/>
      <c r="D14" s="104"/>
      <c r="E14" s="104"/>
      <c r="F14" s="104"/>
      <c r="G14" s="104"/>
      <c r="H14" s="43"/>
      <c r="I14" s="93"/>
      <c r="J14" s="35"/>
      <c r="K14" s="35"/>
      <c r="L14" s="35"/>
      <c r="M14" s="35"/>
      <c r="N14" s="104"/>
    </row>
    <row r="15" spans="1:20" s="9" customFormat="1" x14ac:dyDescent="0.25">
      <c r="A15" s="426" t="s">
        <v>89</v>
      </c>
      <c r="B15" s="427"/>
      <c r="C15" s="31"/>
      <c r="D15" s="31"/>
      <c r="E15" s="31"/>
      <c r="F15" s="31"/>
      <c r="G15" s="249"/>
      <c r="H15" s="209"/>
      <c r="I15" s="210"/>
      <c r="J15" s="31"/>
      <c r="K15" s="31"/>
      <c r="L15" s="35"/>
      <c r="M15" s="35"/>
      <c r="N15" s="255"/>
      <c r="O15" s="209"/>
      <c r="P15" s="31"/>
      <c r="Q15" s="31"/>
      <c r="R15" s="35"/>
      <c r="S15" s="35"/>
    </row>
    <row r="16" spans="1:20" x14ac:dyDescent="0.25">
      <c r="A16" s="4" t="s">
        <v>42</v>
      </c>
      <c r="B16" s="33">
        <v>0</v>
      </c>
      <c r="C16" s="14">
        <f>C9</f>
        <v>881540.81632653065</v>
      </c>
      <c r="D16" s="14">
        <f t="shared" ref="D16:F16" si="6">D9</f>
        <v>966655.10204081633</v>
      </c>
      <c r="E16" s="14">
        <f t="shared" si="6"/>
        <v>2237627.5510204085</v>
      </c>
      <c r="F16" s="14">
        <f t="shared" si="6"/>
        <v>4363795.9183673477</v>
      </c>
      <c r="G16" s="248"/>
      <c r="H16" s="4" t="s">
        <v>42</v>
      </c>
      <c r="I16" s="33">
        <v>0</v>
      </c>
      <c r="J16" s="14">
        <f>J9</f>
        <v>293846.93877551024</v>
      </c>
      <c r="K16" s="14">
        <f t="shared" ref="K16:M16" si="7">K9</f>
        <v>590733.67346938781</v>
      </c>
      <c r="L16" s="14">
        <f t="shared" si="7"/>
        <v>1253071.4285714286</v>
      </c>
      <c r="M16" s="14">
        <f t="shared" si="7"/>
        <v>3208673.4693877553</v>
      </c>
      <c r="N16" s="248"/>
      <c r="O16" s="4"/>
      <c r="P16" s="14">
        <f>P9</f>
        <v>1469234.693877551</v>
      </c>
      <c r="Q16" s="14">
        <f t="shared" ref="Q16:S16" si="8">Q9</f>
        <v>1342576.5306122452</v>
      </c>
      <c r="R16" s="14">
        <f t="shared" si="8"/>
        <v>3222183.6734693879</v>
      </c>
      <c r="S16" s="14">
        <f t="shared" si="8"/>
        <v>5518918.3673469387</v>
      </c>
    </row>
    <row r="17" spans="1:19" ht="15" customHeight="1" x14ac:dyDescent="0.25">
      <c r="A17" s="4" t="s">
        <v>42</v>
      </c>
      <c r="B17" s="33">
        <v>1</v>
      </c>
      <c r="C17" s="14">
        <f>IF('User Inputs'!$E$13&gt;='RORO Capital'!$B17,C$12,0)</f>
        <v>304960.91023459646</v>
      </c>
      <c r="D17" s="14">
        <f>IF('User Inputs'!$E$13&gt;='RORO Capital'!$B17,D$12,0)</f>
        <v>334230.59878142783</v>
      </c>
      <c r="E17" s="14">
        <f>IF('User Inputs'!$E$13&gt;='RORO Capital'!$B17,E$12,0)</f>
        <v>771301.38450256432</v>
      </c>
      <c r="F17" s="14">
        <f>IF('User Inputs'!$E$13&gt;='RORO Capital'!$B17,F$12,0)</f>
        <v>1502462.8503847206</v>
      </c>
      <c r="G17" s="248"/>
      <c r="H17" s="4" t="s">
        <v>42</v>
      </c>
      <c r="I17" s="33">
        <v>1</v>
      </c>
      <c r="J17" s="14">
        <f>IF('User Inputs'!$E$13&gt;='RORO Capital'!$B17,J$12,0)</f>
        <v>102860.67979218948</v>
      </c>
      <c r="K17" s="14">
        <f>IF('User Inputs'!$E$13&gt;='RORO Capital'!$B17,K$12,0)</f>
        <v>204956.14103292266</v>
      </c>
      <c r="L17" s="14">
        <f>IF('User Inputs'!$E$13&gt;='RORO Capital'!$B17,L$12,0)</f>
        <v>432725.42373266991</v>
      </c>
      <c r="M17" s="14">
        <f>IF('User Inputs'!$E$13&gt;='RORO Capital'!$B17,M$12,0)</f>
        <v>1105231.362963438</v>
      </c>
      <c r="N17" s="248"/>
      <c r="O17" s="4"/>
      <c r="P17" s="14">
        <f>IF('User Inputs'!$E$13&gt;='RORO Capital'!$B17,P$12,0)</f>
        <v>507061.14067700342</v>
      </c>
      <c r="Q17" s="14">
        <f>IF('User Inputs'!$E$13&gt;='RORO Capital'!$B17,Q$12,0)</f>
        <v>463505.05652993306</v>
      </c>
      <c r="R17" s="14">
        <f>IF('User Inputs'!$E$13&gt;='RORO Capital'!$B17,R$12,0)</f>
        <v>1109877.3452724589</v>
      </c>
      <c r="S17" s="14">
        <f>IF('User Inputs'!$E$13&gt;='RORO Capital'!$B17,S$12,0)</f>
        <v>1899694.3378060032</v>
      </c>
    </row>
    <row r="18" spans="1:19" x14ac:dyDescent="0.25">
      <c r="A18" s="4" t="s">
        <v>42</v>
      </c>
      <c r="B18" s="33">
        <v>2</v>
      </c>
      <c r="C18" s="14">
        <f>IF('User Inputs'!$E$13&gt;='RORO Capital'!$B18,C$12,0)</f>
        <v>304960.91023459646</v>
      </c>
      <c r="D18" s="14">
        <f>IF('User Inputs'!$E$13&gt;='RORO Capital'!$B18,D$12,0)</f>
        <v>334230.59878142783</v>
      </c>
      <c r="E18" s="14">
        <f>IF('User Inputs'!$E$13&gt;='RORO Capital'!$B18,E$12,0)</f>
        <v>771301.38450256432</v>
      </c>
      <c r="F18" s="14">
        <f>IF('User Inputs'!$E$13&gt;='RORO Capital'!$B18,F$12,0)</f>
        <v>1502462.8503847206</v>
      </c>
      <c r="G18" s="248"/>
      <c r="H18" s="4" t="s">
        <v>42</v>
      </c>
      <c r="I18" s="33">
        <v>2</v>
      </c>
      <c r="J18" s="14">
        <f>IF('User Inputs'!$E$13&gt;='RORO Capital'!$B18,J$12,0)</f>
        <v>102860.67979218948</v>
      </c>
      <c r="K18" s="14">
        <f>IF('User Inputs'!$E$13&gt;='RORO Capital'!$B18,K$12,0)</f>
        <v>204956.14103292266</v>
      </c>
      <c r="L18" s="14">
        <f>IF('User Inputs'!$E$13&gt;='RORO Capital'!$B18,L$12,0)</f>
        <v>432725.42373266991</v>
      </c>
      <c r="M18" s="14">
        <f>IF('User Inputs'!$E$13&gt;='RORO Capital'!$B18,M$12,0)</f>
        <v>1105231.362963438</v>
      </c>
      <c r="N18" s="248"/>
      <c r="O18" s="4"/>
      <c r="P18" s="14">
        <f>IF('User Inputs'!$E$13&gt;='RORO Capital'!$B18,P$12,0)</f>
        <v>507061.14067700342</v>
      </c>
      <c r="Q18" s="14">
        <f>IF('User Inputs'!$E$13&gt;='RORO Capital'!$B18,Q$12,0)</f>
        <v>463505.05652993306</v>
      </c>
      <c r="R18" s="14">
        <f>IF('User Inputs'!$E$13&gt;='RORO Capital'!$B18,R$12,0)</f>
        <v>1109877.3452724589</v>
      </c>
      <c r="S18" s="14">
        <f>IF('User Inputs'!$E$13&gt;='RORO Capital'!$B18,S$12,0)</f>
        <v>1899694.3378060032</v>
      </c>
    </row>
    <row r="19" spans="1:19" s="9" customFormat="1" x14ac:dyDescent="0.25">
      <c r="A19" s="4" t="s">
        <v>42</v>
      </c>
      <c r="B19" s="33">
        <v>3</v>
      </c>
      <c r="C19" s="14">
        <f>IF('User Inputs'!$E$13&gt;='RORO Capital'!$B19,C$12,0)</f>
        <v>304960.91023459646</v>
      </c>
      <c r="D19" s="14">
        <f>IF('User Inputs'!$E$13&gt;='RORO Capital'!$B19,D$12,0)</f>
        <v>334230.59878142783</v>
      </c>
      <c r="E19" s="14">
        <f>IF('User Inputs'!$E$13&gt;='RORO Capital'!$B19,E$12,0)</f>
        <v>771301.38450256432</v>
      </c>
      <c r="F19" s="14">
        <f>IF('User Inputs'!$E$13&gt;='RORO Capital'!$B19,F$12,0)</f>
        <v>1502462.8503847206</v>
      </c>
      <c r="G19" s="248"/>
      <c r="H19" s="4" t="s">
        <v>42</v>
      </c>
      <c r="I19" s="33">
        <v>3</v>
      </c>
      <c r="J19" s="14">
        <f>IF('User Inputs'!$E$13&gt;='RORO Capital'!$B19,J$12,0)</f>
        <v>102860.67979218948</v>
      </c>
      <c r="K19" s="14">
        <f>IF('User Inputs'!$E$13&gt;='RORO Capital'!$B19,K$12,0)</f>
        <v>204956.14103292266</v>
      </c>
      <c r="L19" s="14">
        <f>IF('User Inputs'!$E$13&gt;='RORO Capital'!$B19,L$12,0)</f>
        <v>432725.42373266991</v>
      </c>
      <c r="M19" s="14">
        <f>IF('User Inputs'!$E$13&gt;='RORO Capital'!$B19,M$12,0)</f>
        <v>1105231.362963438</v>
      </c>
      <c r="N19" s="248"/>
      <c r="O19" s="4"/>
      <c r="P19" s="14">
        <f>IF('User Inputs'!$E$13&gt;='RORO Capital'!$B19,P$12,0)</f>
        <v>507061.14067700342</v>
      </c>
      <c r="Q19" s="14">
        <f>IF('User Inputs'!$E$13&gt;='RORO Capital'!$B19,Q$12,0)</f>
        <v>463505.05652993306</v>
      </c>
      <c r="R19" s="14">
        <f>IF('User Inputs'!$E$13&gt;='RORO Capital'!$B19,R$12,0)</f>
        <v>1109877.3452724589</v>
      </c>
      <c r="S19" s="14">
        <f>IF('User Inputs'!$E$13&gt;='RORO Capital'!$B19,S$12,0)</f>
        <v>1899694.3378060032</v>
      </c>
    </row>
    <row r="20" spans="1:19" x14ac:dyDescent="0.25">
      <c r="A20" s="4" t="s">
        <v>42</v>
      </c>
      <c r="B20" s="33">
        <v>4</v>
      </c>
      <c r="C20" s="14">
        <f>IF('User Inputs'!$E$13&gt;='RORO Capital'!$B20,C$12,0)</f>
        <v>304960.91023459646</v>
      </c>
      <c r="D20" s="14">
        <f>IF('User Inputs'!$E$13&gt;='RORO Capital'!$B20,D$12,0)</f>
        <v>334230.59878142783</v>
      </c>
      <c r="E20" s="14">
        <f>IF('User Inputs'!$E$13&gt;='RORO Capital'!$B20,E$12,0)</f>
        <v>771301.38450256432</v>
      </c>
      <c r="F20" s="14">
        <f>IF('User Inputs'!$E$13&gt;='RORO Capital'!$B20,F$12,0)</f>
        <v>1502462.8503847206</v>
      </c>
      <c r="G20" s="248"/>
      <c r="H20" s="4" t="s">
        <v>42</v>
      </c>
      <c r="I20" s="33">
        <v>4</v>
      </c>
      <c r="J20" s="14">
        <f>IF('User Inputs'!$E$13&gt;='RORO Capital'!$B20,J$12,0)</f>
        <v>102860.67979218948</v>
      </c>
      <c r="K20" s="14">
        <f>IF('User Inputs'!$E$13&gt;='RORO Capital'!$B20,K$12,0)</f>
        <v>204956.14103292266</v>
      </c>
      <c r="L20" s="14">
        <f>IF('User Inputs'!$E$13&gt;='RORO Capital'!$B20,L$12,0)</f>
        <v>432725.42373266991</v>
      </c>
      <c r="M20" s="14">
        <f>IF('User Inputs'!$E$13&gt;='RORO Capital'!$B20,M$12,0)</f>
        <v>1105231.362963438</v>
      </c>
      <c r="N20" s="248"/>
      <c r="O20" s="4"/>
      <c r="P20" s="14">
        <f>IF('User Inputs'!$E$13&gt;='RORO Capital'!$B20,P$12,0)</f>
        <v>507061.14067700342</v>
      </c>
      <c r="Q20" s="14">
        <f>IF('User Inputs'!$E$13&gt;='RORO Capital'!$B20,Q$12,0)</f>
        <v>463505.05652993306</v>
      </c>
      <c r="R20" s="14">
        <f>IF('User Inputs'!$E$13&gt;='RORO Capital'!$B20,R$12,0)</f>
        <v>1109877.3452724589</v>
      </c>
      <c r="S20" s="14">
        <f>IF('User Inputs'!$E$13&gt;='RORO Capital'!$B20,S$12,0)</f>
        <v>1899694.3378060032</v>
      </c>
    </row>
    <row r="21" spans="1:19" s="9" customFormat="1" x14ac:dyDescent="0.25">
      <c r="A21" s="4" t="s">
        <v>42</v>
      </c>
      <c r="B21" s="33">
        <v>5</v>
      </c>
      <c r="C21" s="14">
        <f>IF('User Inputs'!$E$13&gt;='RORO Capital'!$B21,C$12,0)</f>
        <v>304960.91023459646</v>
      </c>
      <c r="D21" s="14">
        <f>IF('User Inputs'!$E$13&gt;='RORO Capital'!$B21,D$12,0)</f>
        <v>334230.59878142783</v>
      </c>
      <c r="E21" s="14">
        <f>IF('User Inputs'!$E$13&gt;='RORO Capital'!$B21,E$12,0)</f>
        <v>771301.38450256432</v>
      </c>
      <c r="F21" s="14">
        <f>IF('User Inputs'!$E$13&gt;='RORO Capital'!$B21,F$12,0)</f>
        <v>1502462.8503847206</v>
      </c>
      <c r="G21" s="248"/>
      <c r="H21" s="4" t="s">
        <v>42</v>
      </c>
      <c r="I21" s="33">
        <v>5</v>
      </c>
      <c r="J21" s="14">
        <f>IF('User Inputs'!$E$13&gt;='RORO Capital'!$B21,J$12,0)</f>
        <v>102860.67979218948</v>
      </c>
      <c r="K21" s="14">
        <f>IF('User Inputs'!$E$13&gt;='RORO Capital'!$B21,K$12,0)</f>
        <v>204956.14103292266</v>
      </c>
      <c r="L21" s="14">
        <f>IF('User Inputs'!$E$13&gt;='RORO Capital'!$B21,L$12,0)</f>
        <v>432725.42373266991</v>
      </c>
      <c r="M21" s="14">
        <f>IF('User Inputs'!$E$13&gt;='RORO Capital'!$B21,M$12,0)</f>
        <v>1105231.362963438</v>
      </c>
      <c r="N21" s="248"/>
      <c r="O21" s="4"/>
      <c r="P21" s="14">
        <f>IF('User Inputs'!$E$13&gt;='RORO Capital'!$B21,P$12,0)</f>
        <v>507061.14067700342</v>
      </c>
      <c r="Q21" s="14">
        <f>IF('User Inputs'!$E$13&gt;='RORO Capital'!$B21,Q$12,0)</f>
        <v>463505.05652993306</v>
      </c>
      <c r="R21" s="14">
        <f>IF('User Inputs'!$E$13&gt;='RORO Capital'!$B21,R$12,0)</f>
        <v>1109877.3452724589</v>
      </c>
      <c r="S21" s="14">
        <f>IF('User Inputs'!$E$13&gt;='RORO Capital'!$B21,S$12,0)</f>
        <v>1899694.3378060032</v>
      </c>
    </row>
    <row r="22" spans="1:19" ht="15" customHeight="1" x14ac:dyDescent="0.25">
      <c r="A22" s="4" t="s">
        <v>42</v>
      </c>
      <c r="B22" s="33">
        <v>6</v>
      </c>
      <c r="C22" s="14">
        <f>IF('User Inputs'!$E$13&gt;='RORO Capital'!$B22,C$12,0)</f>
        <v>304960.91023459646</v>
      </c>
      <c r="D22" s="14">
        <f>IF('User Inputs'!$E$13&gt;='RORO Capital'!$B22,D$12,0)</f>
        <v>334230.59878142783</v>
      </c>
      <c r="E22" s="14">
        <f>IF('User Inputs'!$E$13&gt;='RORO Capital'!$B22,E$12,0)</f>
        <v>771301.38450256432</v>
      </c>
      <c r="F22" s="14">
        <f>IF('User Inputs'!$E$13&gt;='RORO Capital'!$B22,F$12,0)</f>
        <v>1502462.8503847206</v>
      </c>
      <c r="G22" s="248"/>
      <c r="H22" s="4" t="s">
        <v>42</v>
      </c>
      <c r="I22" s="33">
        <v>6</v>
      </c>
      <c r="J22" s="14">
        <f>IF('User Inputs'!$E$13&gt;='RORO Capital'!$B22,J$12,0)</f>
        <v>102860.67979218948</v>
      </c>
      <c r="K22" s="14">
        <f>IF('User Inputs'!$E$13&gt;='RORO Capital'!$B22,K$12,0)</f>
        <v>204956.14103292266</v>
      </c>
      <c r="L22" s="14">
        <f>IF('User Inputs'!$E$13&gt;='RORO Capital'!$B22,L$12,0)</f>
        <v>432725.42373266991</v>
      </c>
      <c r="M22" s="14">
        <f>IF('User Inputs'!$E$13&gt;='RORO Capital'!$B22,M$12,0)</f>
        <v>1105231.362963438</v>
      </c>
      <c r="N22" s="248"/>
      <c r="O22" s="4"/>
      <c r="P22" s="14">
        <f>IF('User Inputs'!$E$13&gt;='RORO Capital'!$B22,P$12,0)</f>
        <v>507061.14067700342</v>
      </c>
      <c r="Q22" s="14">
        <f>IF('User Inputs'!$E$13&gt;='RORO Capital'!$B22,Q$12,0)</f>
        <v>463505.05652993306</v>
      </c>
      <c r="R22" s="14">
        <f>IF('User Inputs'!$E$13&gt;='RORO Capital'!$B22,R$12,0)</f>
        <v>1109877.3452724589</v>
      </c>
      <c r="S22" s="14">
        <f>IF('User Inputs'!$E$13&gt;='RORO Capital'!$B22,S$12,0)</f>
        <v>1899694.3378060032</v>
      </c>
    </row>
    <row r="23" spans="1:19" x14ac:dyDescent="0.25">
      <c r="A23" s="4" t="s">
        <v>42</v>
      </c>
      <c r="B23" s="33">
        <v>7</v>
      </c>
      <c r="C23" s="14">
        <f>IF('User Inputs'!$E$13&gt;='RORO Capital'!$B23,C$12,0)</f>
        <v>304960.91023459646</v>
      </c>
      <c r="D23" s="14">
        <f>IF('User Inputs'!$E$13&gt;='RORO Capital'!$B23,D$12,0)</f>
        <v>334230.59878142783</v>
      </c>
      <c r="E23" s="14">
        <f>IF('User Inputs'!$E$13&gt;='RORO Capital'!$B23,E$12,0)</f>
        <v>771301.38450256432</v>
      </c>
      <c r="F23" s="14">
        <f>IF('User Inputs'!$E$13&gt;='RORO Capital'!$B23,F$12,0)</f>
        <v>1502462.8503847206</v>
      </c>
      <c r="G23" s="248"/>
      <c r="H23" s="4" t="s">
        <v>42</v>
      </c>
      <c r="I23" s="33">
        <v>7</v>
      </c>
      <c r="J23" s="14">
        <f>IF('User Inputs'!$E$13&gt;='RORO Capital'!$B23,J$12,0)</f>
        <v>102860.67979218948</v>
      </c>
      <c r="K23" s="14">
        <f>IF('User Inputs'!$E$13&gt;='RORO Capital'!$B23,K$12,0)</f>
        <v>204956.14103292266</v>
      </c>
      <c r="L23" s="14">
        <f>IF('User Inputs'!$E$13&gt;='RORO Capital'!$B23,L$12,0)</f>
        <v>432725.42373266991</v>
      </c>
      <c r="M23" s="14">
        <f>IF('User Inputs'!$E$13&gt;='RORO Capital'!$B23,M$12,0)</f>
        <v>1105231.362963438</v>
      </c>
      <c r="N23" s="248"/>
      <c r="O23" s="4"/>
      <c r="P23" s="14">
        <f>IF('User Inputs'!$E$13&gt;='RORO Capital'!$B23,P$12,0)</f>
        <v>507061.14067700342</v>
      </c>
      <c r="Q23" s="14">
        <f>IF('User Inputs'!$E$13&gt;='RORO Capital'!$B23,Q$12,0)</f>
        <v>463505.05652993306</v>
      </c>
      <c r="R23" s="14">
        <f>IF('User Inputs'!$E$13&gt;='RORO Capital'!$B23,R$12,0)</f>
        <v>1109877.3452724589</v>
      </c>
      <c r="S23" s="14">
        <f>IF('User Inputs'!$E$13&gt;='RORO Capital'!$B23,S$12,0)</f>
        <v>1899694.3378060032</v>
      </c>
    </row>
    <row r="24" spans="1:19" x14ac:dyDescent="0.25">
      <c r="A24" s="4" t="s">
        <v>42</v>
      </c>
      <c r="B24" s="33">
        <v>8</v>
      </c>
      <c r="C24" s="14">
        <f>IF('User Inputs'!$E$13&gt;='RORO Capital'!$B24,C$12,0)</f>
        <v>304960.91023459646</v>
      </c>
      <c r="D24" s="14">
        <f>IF('User Inputs'!$E$13&gt;='RORO Capital'!$B24,D$12,0)</f>
        <v>334230.59878142783</v>
      </c>
      <c r="E24" s="14">
        <f>IF('User Inputs'!$E$13&gt;='RORO Capital'!$B24,E$12,0)</f>
        <v>771301.38450256432</v>
      </c>
      <c r="F24" s="14">
        <f>IF('User Inputs'!$E$13&gt;='RORO Capital'!$B24,F$12,0)</f>
        <v>1502462.8503847206</v>
      </c>
      <c r="G24" s="248"/>
      <c r="H24" s="4" t="s">
        <v>42</v>
      </c>
      <c r="I24" s="33">
        <v>8</v>
      </c>
      <c r="J24" s="14">
        <f>IF('User Inputs'!$E$13&gt;='RORO Capital'!$B24,J$12,0)</f>
        <v>102860.67979218948</v>
      </c>
      <c r="K24" s="14">
        <f>IF('User Inputs'!$E$13&gt;='RORO Capital'!$B24,K$12,0)</f>
        <v>204956.14103292266</v>
      </c>
      <c r="L24" s="14">
        <f>IF('User Inputs'!$E$13&gt;='RORO Capital'!$B24,L$12,0)</f>
        <v>432725.42373266991</v>
      </c>
      <c r="M24" s="14">
        <f>IF('User Inputs'!$E$13&gt;='RORO Capital'!$B24,M$12,0)</f>
        <v>1105231.362963438</v>
      </c>
      <c r="N24" s="248"/>
      <c r="O24" s="4"/>
      <c r="P24" s="14">
        <f>IF('User Inputs'!$E$13&gt;='RORO Capital'!$B24,P$12,0)</f>
        <v>507061.14067700342</v>
      </c>
      <c r="Q24" s="14">
        <f>IF('User Inputs'!$E$13&gt;='RORO Capital'!$B24,Q$12,0)</f>
        <v>463505.05652993306</v>
      </c>
      <c r="R24" s="14">
        <f>IF('User Inputs'!$E$13&gt;='RORO Capital'!$B24,R$12,0)</f>
        <v>1109877.3452724589</v>
      </c>
      <c r="S24" s="14">
        <f>IF('User Inputs'!$E$13&gt;='RORO Capital'!$B24,S$12,0)</f>
        <v>1899694.3378060032</v>
      </c>
    </row>
    <row r="25" spans="1:19" s="9" customFormat="1" x14ac:dyDescent="0.25">
      <c r="A25" s="4" t="s">
        <v>42</v>
      </c>
      <c r="B25" s="33">
        <v>9</v>
      </c>
      <c r="C25" s="14">
        <f>IF('User Inputs'!$E$13&gt;='RORO Capital'!$B25,C$12,0)</f>
        <v>304960.91023459646</v>
      </c>
      <c r="D25" s="14">
        <f>IF('User Inputs'!$E$13&gt;='RORO Capital'!$B25,D$12,0)</f>
        <v>334230.59878142783</v>
      </c>
      <c r="E25" s="14">
        <f>IF('User Inputs'!$E$13&gt;='RORO Capital'!$B25,E$12,0)</f>
        <v>771301.38450256432</v>
      </c>
      <c r="F25" s="14">
        <f>IF('User Inputs'!$E$13&gt;='RORO Capital'!$B25,F$12,0)</f>
        <v>1502462.8503847206</v>
      </c>
      <c r="G25" s="248"/>
      <c r="H25" s="4" t="s">
        <v>42</v>
      </c>
      <c r="I25" s="33">
        <v>9</v>
      </c>
      <c r="J25" s="14">
        <f>IF('User Inputs'!$E$13&gt;='RORO Capital'!$B25,J$12,0)</f>
        <v>102860.67979218948</v>
      </c>
      <c r="K25" s="14">
        <f>IF('User Inputs'!$E$13&gt;='RORO Capital'!$B25,K$12,0)</f>
        <v>204956.14103292266</v>
      </c>
      <c r="L25" s="14">
        <f>IF('User Inputs'!$E$13&gt;='RORO Capital'!$B25,L$12,0)</f>
        <v>432725.42373266991</v>
      </c>
      <c r="M25" s="14">
        <f>IF('User Inputs'!$E$13&gt;='RORO Capital'!$B25,M$12,0)</f>
        <v>1105231.362963438</v>
      </c>
      <c r="N25" s="248"/>
      <c r="O25" s="4"/>
      <c r="P25" s="14">
        <f>IF('User Inputs'!$E$13&gt;='RORO Capital'!$B25,P$12,0)</f>
        <v>507061.14067700342</v>
      </c>
      <c r="Q25" s="14">
        <f>IF('User Inputs'!$E$13&gt;='RORO Capital'!$B25,Q$12,0)</f>
        <v>463505.05652993306</v>
      </c>
      <c r="R25" s="14">
        <f>IF('User Inputs'!$E$13&gt;='RORO Capital'!$B25,R$12,0)</f>
        <v>1109877.3452724589</v>
      </c>
      <c r="S25" s="14">
        <f>IF('User Inputs'!$E$13&gt;='RORO Capital'!$B25,S$12,0)</f>
        <v>1899694.3378060032</v>
      </c>
    </row>
    <row r="26" spans="1:19" ht="17.25" customHeight="1" x14ac:dyDescent="0.25">
      <c r="A26" s="4" t="s">
        <v>42</v>
      </c>
      <c r="B26" s="33">
        <v>10</v>
      </c>
      <c r="C26" s="14">
        <f>IF('User Inputs'!$E$13&gt;='RORO Capital'!$B26,C$12,0)</f>
        <v>304960.91023459646</v>
      </c>
      <c r="D26" s="14">
        <f>IF('User Inputs'!$E$13&gt;='RORO Capital'!$B26,D$12,0)</f>
        <v>334230.59878142783</v>
      </c>
      <c r="E26" s="14">
        <f>IF('User Inputs'!$E$13&gt;='RORO Capital'!$B26,E$12,0)</f>
        <v>771301.38450256432</v>
      </c>
      <c r="F26" s="14">
        <f>IF('User Inputs'!$E$13&gt;='RORO Capital'!$B26,F$12,0)</f>
        <v>1502462.8503847206</v>
      </c>
      <c r="G26" s="248"/>
      <c r="H26" s="4" t="s">
        <v>42</v>
      </c>
      <c r="I26" s="33">
        <v>10</v>
      </c>
      <c r="J26" s="14">
        <f>IF('User Inputs'!$E$13&gt;='RORO Capital'!$B26,J$12,0)</f>
        <v>102860.67979218948</v>
      </c>
      <c r="K26" s="14">
        <f>IF('User Inputs'!$E$13&gt;='RORO Capital'!$B26,K$12,0)</f>
        <v>204956.14103292266</v>
      </c>
      <c r="L26" s="14">
        <f>IF('User Inputs'!$E$13&gt;='RORO Capital'!$B26,L$12,0)</f>
        <v>432725.42373266991</v>
      </c>
      <c r="M26" s="14">
        <f>IF('User Inputs'!$E$13&gt;='RORO Capital'!$B26,M$12,0)</f>
        <v>1105231.362963438</v>
      </c>
      <c r="N26" s="248"/>
      <c r="O26" s="4"/>
      <c r="P26" s="14">
        <f>IF('User Inputs'!$E$13&gt;='RORO Capital'!$B26,P$12,0)</f>
        <v>507061.14067700342</v>
      </c>
      <c r="Q26" s="14">
        <f>IF('User Inputs'!$E$13&gt;='RORO Capital'!$B26,Q$12,0)</f>
        <v>463505.05652993306</v>
      </c>
      <c r="R26" s="14">
        <f>IF('User Inputs'!$E$13&gt;='RORO Capital'!$B26,R$12,0)</f>
        <v>1109877.3452724589</v>
      </c>
      <c r="S26" s="14">
        <f>IF('User Inputs'!$E$13&gt;='RORO Capital'!$B26,S$12,0)</f>
        <v>1899694.3378060032</v>
      </c>
    </row>
    <row r="27" spans="1:19" x14ac:dyDescent="0.25">
      <c r="A27" s="4" t="s">
        <v>42</v>
      </c>
      <c r="B27" s="33">
        <v>11</v>
      </c>
      <c r="C27" s="14">
        <f>IF('User Inputs'!$E$13&gt;='RORO Capital'!$B27,C$12,0)</f>
        <v>304960.91023459646</v>
      </c>
      <c r="D27" s="14">
        <f>IF('User Inputs'!$E$13&gt;='RORO Capital'!$B27,D$12,0)</f>
        <v>334230.59878142783</v>
      </c>
      <c r="E27" s="14">
        <f>IF('User Inputs'!$E$13&gt;='RORO Capital'!$B27,E$12,0)</f>
        <v>771301.38450256432</v>
      </c>
      <c r="F27" s="14">
        <f>IF('User Inputs'!$E$13&gt;='RORO Capital'!$B27,F$12,0)</f>
        <v>1502462.8503847206</v>
      </c>
      <c r="G27" s="248"/>
      <c r="H27" s="4" t="s">
        <v>42</v>
      </c>
      <c r="I27" s="33">
        <v>11</v>
      </c>
      <c r="J27" s="14">
        <f>IF('User Inputs'!$E$13&gt;='RORO Capital'!$B27,J$12,0)</f>
        <v>102860.67979218948</v>
      </c>
      <c r="K27" s="14">
        <f>IF('User Inputs'!$E$13&gt;='RORO Capital'!$B27,K$12,0)</f>
        <v>204956.14103292266</v>
      </c>
      <c r="L27" s="14">
        <f>IF('User Inputs'!$E$13&gt;='RORO Capital'!$B27,L$12,0)</f>
        <v>432725.42373266991</v>
      </c>
      <c r="M27" s="14">
        <f>IF('User Inputs'!$E$13&gt;='RORO Capital'!$B27,M$12,0)</f>
        <v>1105231.362963438</v>
      </c>
      <c r="N27" s="248"/>
      <c r="O27" s="4"/>
      <c r="P27" s="14">
        <f>IF('User Inputs'!$E$13&gt;='RORO Capital'!$B27,P$12,0)</f>
        <v>507061.14067700342</v>
      </c>
      <c r="Q27" s="14">
        <f>IF('User Inputs'!$E$13&gt;='RORO Capital'!$B27,Q$12,0)</f>
        <v>463505.05652993306</v>
      </c>
      <c r="R27" s="14">
        <f>IF('User Inputs'!$E$13&gt;='RORO Capital'!$B27,R$12,0)</f>
        <v>1109877.3452724589</v>
      </c>
      <c r="S27" s="14">
        <f>IF('User Inputs'!$E$13&gt;='RORO Capital'!$B27,S$12,0)</f>
        <v>1899694.3378060032</v>
      </c>
    </row>
    <row r="28" spans="1:19" x14ac:dyDescent="0.25">
      <c r="A28" s="4" t="s">
        <v>42</v>
      </c>
      <c r="B28" s="33">
        <v>12</v>
      </c>
      <c r="C28" s="14">
        <f>IF('User Inputs'!$E$13&gt;='RORO Capital'!$B28,C$12,0)</f>
        <v>304960.91023459646</v>
      </c>
      <c r="D28" s="14">
        <f>IF('User Inputs'!$E$13&gt;='RORO Capital'!$B28,D$12,0)</f>
        <v>334230.59878142783</v>
      </c>
      <c r="E28" s="14">
        <f>IF('User Inputs'!$E$13&gt;='RORO Capital'!$B28,E$12,0)</f>
        <v>771301.38450256432</v>
      </c>
      <c r="F28" s="14">
        <f>IF('User Inputs'!$E$13&gt;='RORO Capital'!$B28,F$12,0)</f>
        <v>1502462.8503847206</v>
      </c>
      <c r="G28" s="248"/>
      <c r="H28" s="4" t="s">
        <v>42</v>
      </c>
      <c r="I28" s="33">
        <v>12</v>
      </c>
      <c r="J28" s="14">
        <f>IF('User Inputs'!$E$13&gt;='RORO Capital'!$B28,J$12,0)</f>
        <v>102860.67979218948</v>
      </c>
      <c r="K28" s="14">
        <f>IF('User Inputs'!$E$13&gt;='RORO Capital'!$B28,K$12,0)</f>
        <v>204956.14103292266</v>
      </c>
      <c r="L28" s="14">
        <f>IF('User Inputs'!$E$13&gt;='RORO Capital'!$B28,L$12,0)</f>
        <v>432725.42373266991</v>
      </c>
      <c r="M28" s="14">
        <f>IF('User Inputs'!$E$13&gt;='RORO Capital'!$B28,M$12,0)</f>
        <v>1105231.362963438</v>
      </c>
      <c r="N28" s="248"/>
      <c r="O28" s="4"/>
      <c r="P28" s="14">
        <f>IF('User Inputs'!$E$13&gt;='RORO Capital'!$B28,P$12,0)</f>
        <v>507061.14067700342</v>
      </c>
      <c r="Q28" s="14">
        <f>IF('User Inputs'!$E$13&gt;='RORO Capital'!$B28,Q$12,0)</f>
        <v>463505.05652993306</v>
      </c>
      <c r="R28" s="14">
        <f>IF('User Inputs'!$E$13&gt;='RORO Capital'!$B28,R$12,0)</f>
        <v>1109877.3452724589</v>
      </c>
      <c r="S28" s="14">
        <f>IF('User Inputs'!$E$13&gt;='RORO Capital'!$B28,S$12,0)</f>
        <v>1899694.3378060032</v>
      </c>
    </row>
    <row r="29" spans="1:19" x14ac:dyDescent="0.25">
      <c r="A29" s="4" t="s">
        <v>42</v>
      </c>
      <c r="B29" s="33">
        <v>13</v>
      </c>
      <c r="C29" s="14">
        <f>IF('User Inputs'!$E$13&gt;='RORO Capital'!$B29,C$12,0)</f>
        <v>304960.91023459646</v>
      </c>
      <c r="D29" s="14">
        <f>IF('User Inputs'!$E$13&gt;='RORO Capital'!$B29,D$12,0)</f>
        <v>334230.59878142783</v>
      </c>
      <c r="E29" s="14">
        <f>IF('User Inputs'!$E$13&gt;='RORO Capital'!$B29,E$12,0)</f>
        <v>771301.38450256432</v>
      </c>
      <c r="F29" s="14">
        <f>IF('User Inputs'!$E$13&gt;='RORO Capital'!$B29,F$12,0)</f>
        <v>1502462.8503847206</v>
      </c>
      <c r="G29" s="248"/>
      <c r="H29" s="4" t="s">
        <v>42</v>
      </c>
      <c r="I29" s="33">
        <v>13</v>
      </c>
      <c r="J29" s="14">
        <f>IF('User Inputs'!$E$13&gt;='RORO Capital'!$B29,J$12,0)</f>
        <v>102860.67979218948</v>
      </c>
      <c r="K29" s="14">
        <f>IF('User Inputs'!$E$13&gt;='RORO Capital'!$B29,K$12,0)</f>
        <v>204956.14103292266</v>
      </c>
      <c r="L29" s="14">
        <f>IF('User Inputs'!$E$13&gt;='RORO Capital'!$B29,L$12,0)</f>
        <v>432725.42373266991</v>
      </c>
      <c r="M29" s="14">
        <f>IF('User Inputs'!$E$13&gt;='RORO Capital'!$B29,M$12,0)</f>
        <v>1105231.362963438</v>
      </c>
      <c r="N29" s="248"/>
      <c r="O29" s="4"/>
      <c r="P29" s="14">
        <f>IF('User Inputs'!$E$13&gt;='RORO Capital'!$B29,P$12,0)</f>
        <v>507061.14067700342</v>
      </c>
      <c r="Q29" s="14">
        <f>IF('User Inputs'!$E$13&gt;='RORO Capital'!$B29,Q$12,0)</f>
        <v>463505.05652993306</v>
      </c>
      <c r="R29" s="14">
        <f>IF('User Inputs'!$E$13&gt;='RORO Capital'!$B29,R$12,0)</f>
        <v>1109877.3452724589</v>
      </c>
      <c r="S29" s="14">
        <f>IF('User Inputs'!$E$13&gt;='RORO Capital'!$B29,S$12,0)</f>
        <v>1899694.3378060032</v>
      </c>
    </row>
    <row r="30" spans="1:19" x14ac:dyDescent="0.25">
      <c r="A30" s="4" t="s">
        <v>42</v>
      </c>
      <c r="B30" s="33">
        <v>14</v>
      </c>
      <c r="C30" s="14">
        <f>IF('User Inputs'!$E$13&gt;='RORO Capital'!$B30,C$12,0)</f>
        <v>304960.91023459646</v>
      </c>
      <c r="D30" s="14">
        <f>IF('User Inputs'!$E$13&gt;='RORO Capital'!$B30,D$12,0)</f>
        <v>334230.59878142783</v>
      </c>
      <c r="E30" s="14">
        <f>IF('User Inputs'!$E$13&gt;='RORO Capital'!$B30,E$12,0)</f>
        <v>771301.38450256432</v>
      </c>
      <c r="F30" s="14">
        <f>IF('User Inputs'!$E$13&gt;='RORO Capital'!$B30,F$12,0)</f>
        <v>1502462.8503847206</v>
      </c>
      <c r="G30" s="248"/>
      <c r="H30" s="4" t="s">
        <v>42</v>
      </c>
      <c r="I30" s="33">
        <v>14</v>
      </c>
      <c r="J30" s="14">
        <f>IF('User Inputs'!$E$13&gt;='RORO Capital'!$B30,J$12,0)</f>
        <v>102860.67979218948</v>
      </c>
      <c r="K30" s="14">
        <f>IF('User Inputs'!$E$13&gt;='RORO Capital'!$B30,K$12,0)</f>
        <v>204956.14103292266</v>
      </c>
      <c r="L30" s="14">
        <f>IF('User Inputs'!$E$13&gt;='RORO Capital'!$B30,L$12,0)</f>
        <v>432725.42373266991</v>
      </c>
      <c r="M30" s="14">
        <f>IF('User Inputs'!$E$13&gt;='RORO Capital'!$B30,M$12,0)</f>
        <v>1105231.362963438</v>
      </c>
      <c r="N30" s="248"/>
      <c r="O30" s="4"/>
      <c r="P30" s="14">
        <f>IF('User Inputs'!$E$13&gt;='RORO Capital'!$B30,P$12,0)</f>
        <v>507061.14067700342</v>
      </c>
      <c r="Q30" s="14">
        <f>IF('User Inputs'!$E$13&gt;='RORO Capital'!$B30,Q$12,0)</f>
        <v>463505.05652993306</v>
      </c>
      <c r="R30" s="14">
        <f>IF('User Inputs'!$E$13&gt;='RORO Capital'!$B30,R$12,0)</f>
        <v>1109877.3452724589</v>
      </c>
      <c r="S30" s="14">
        <f>IF('User Inputs'!$E$13&gt;='RORO Capital'!$B30,S$12,0)</f>
        <v>1899694.3378060032</v>
      </c>
    </row>
    <row r="31" spans="1:19" x14ac:dyDescent="0.25">
      <c r="A31" s="4" t="s">
        <v>42</v>
      </c>
      <c r="B31" s="33">
        <v>15</v>
      </c>
      <c r="C31" s="14">
        <f>IF('User Inputs'!$E$13&gt;='RORO Capital'!$B31,C$12,0)</f>
        <v>304960.91023459646</v>
      </c>
      <c r="D31" s="14">
        <f>IF('User Inputs'!$E$13&gt;='RORO Capital'!$B31,D$12,0)</f>
        <v>334230.59878142783</v>
      </c>
      <c r="E31" s="14">
        <f>IF('User Inputs'!$E$13&gt;='RORO Capital'!$B31,E$12,0)</f>
        <v>771301.38450256432</v>
      </c>
      <c r="F31" s="14">
        <f>IF('User Inputs'!$E$13&gt;='RORO Capital'!$B31,F$12,0)</f>
        <v>1502462.8503847206</v>
      </c>
      <c r="G31" s="248"/>
      <c r="H31" s="4" t="s">
        <v>42</v>
      </c>
      <c r="I31" s="33">
        <v>15</v>
      </c>
      <c r="J31" s="14">
        <f>IF('User Inputs'!$E$13&gt;='RORO Capital'!$B31,J$12,0)</f>
        <v>102860.67979218948</v>
      </c>
      <c r="K31" s="14">
        <f>IF('User Inputs'!$E$13&gt;='RORO Capital'!$B31,K$12,0)</f>
        <v>204956.14103292266</v>
      </c>
      <c r="L31" s="14">
        <f>IF('User Inputs'!$E$13&gt;='RORO Capital'!$B31,L$12,0)</f>
        <v>432725.42373266991</v>
      </c>
      <c r="M31" s="14">
        <f>IF('User Inputs'!$E$13&gt;='RORO Capital'!$B31,M$12,0)</f>
        <v>1105231.362963438</v>
      </c>
      <c r="N31" s="248"/>
      <c r="O31" s="4"/>
      <c r="P31" s="14">
        <f>IF('User Inputs'!$E$13&gt;='RORO Capital'!$B31,P$12,0)</f>
        <v>507061.14067700342</v>
      </c>
      <c r="Q31" s="14">
        <f>IF('User Inputs'!$E$13&gt;='RORO Capital'!$B31,Q$12,0)</f>
        <v>463505.05652993306</v>
      </c>
      <c r="R31" s="14">
        <f>IF('User Inputs'!$E$13&gt;='RORO Capital'!$B31,R$12,0)</f>
        <v>1109877.3452724589</v>
      </c>
      <c r="S31" s="14">
        <f>IF('User Inputs'!$E$13&gt;='RORO Capital'!$B31,S$12,0)</f>
        <v>1899694.3378060032</v>
      </c>
    </row>
    <row r="32" spans="1:19" x14ac:dyDescent="0.25">
      <c r="A32" s="4" t="s">
        <v>42</v>
      </c>
      <c r="B32" s="33">
        <v>16</v>
      </c>
      <c r="C32" s="14">
        <f>IF('User Inputs'!$E$13&gt;='RORO Capital'!$B32,C$12,0)</f>
        <v>304960.91023459646</v>
      </c>
      <c r="D32" s="14">
        <f>IF('User Inputs'!$E$13&gt;='RORO Capital'!$B32,D$12,0)</f>
        <v>334230.59878142783</v>
      </c>
      <c r="E32" s="14">
        <f>IF('User Inputs'!$E$13&gt;='RORO Capital'!$B32,E$12,0)</f>
        <v>771301.38450256432</v>
      </c>
      <c r="F32" s="14">
        <f>IF('User Inputs'!$E$13&gt;='RORO Capital'!$B32,F$12,0)</f>
        <v>1502462.8503847206</v>
      </c>
      <c r="G32" s="248"/>
      <c r="H32" s="4" t="s">
        <v>42</v>
      </c>
      <c r="I32" s="33">
        <v>16</v>
      </c>
      <c r="J32" s="14">
        <f>IF('User Inputs'!$E$13&gt;='RORO Capital'!$B32,J$12,0)</f>
        <v>102860.67979218948</v>
      </c>
      <c r="K32" s="14">
        <f>IF('User Inputs'!$E$13&gt;='RORO Capital'!$B32,K$12,0)</f>
        <v>204956.14103292266</v>
      </c>
      <c r="L32" s="14">
        <f>IF('User Inputs'!$E$13&gt;='RORO Capital'!$B32,L$12,0)</f>
        <v>432725.42373266991</v>
      </c>
      <c r="M32" s="14">
        <f>IF('User Inputs'!$E$13&gt;='RORO Capital'!$B32,M$12,0)</f>
        <v>1105231.362963438</v>
      </c>
      <c r="N32" s="248"/>
      <c r="O32" s="4"/>
      <c r="P32" s="14">
        <f>IF('User Inputs'!$E$13&gt;='RORO Capital'!$B32,P$12,0)</f>
        <v>507061.14067700342</v>
      </c>
      <c r="Q32" s="14">
        <f>IF('User Inputs'!$E$13&gt;='RORO Capital'!$B32,Q$12,0)</f>
        <v>463505.05652993306</v>
      </c>
      <c r="R32" s="14">
        <f>IF('User Inputs'!$E$13&gt;='RORO Capital'!$B32,R$12,0)</f>
        <v>1109877.3452724589</v>
      </c>
      <c r="S32" s="14">
        <f>IF('User Inputs'!$E$13&gt;='RORO Capital'!$B32,S$12,0)</f>
        <v>1899694.3378060032</v>
      </c>
    </row>
    <row r="33" spans="1:19" x14ac:dyDescent="0.25">
      <c r="A33" s="4" t="s">
        <v>42</v>
      </c>
      <c r="B33" s="33">
        <v>17</v>
      </c>
      <c r="C33" s="14">
        <f>IF('User Inputs'!$E$13&gt;='RORO Capital'!$B33,C$12,0)</f>
        <v>304960.91023459646</v>
      </c>
      <c r="D33" s="14">
        <f>IF('User Inputs'!$E$13&gt;='RORO Capital'!$B33,D$12,0)</f>
        <v>334230.59878142783</v>
      </c>
      <c r="E33" s="14">
        <f>IF('User Inputs'!$E$13&gt;='RORO Capital'!$B33,E$12,0)</f>
        <v>771301.38450256432</v>
      </c>
      <c r="F33" s="14">
        <f>IF('User Inputs'!$E$13&gt;='RORO Capital'!$B33,F$12,0)</f>
        <v>1502462.8503847206</v>
      </c>
      <c r="G33" s="248"/>
      <c r="H33" s="4" t="s">
        <v>42</v>
      </c>
      <c r="I33" s="33">
        <v>17</v>
      </c>
      <c r="J33" s="14">
        <f>IF('User Inputs'!$E$13&gt;='RORO Capital'!$B33,J$12,0)</f>
        <v>102860.67979218948</v>
      </c>
      <c r="K33" s="14">
        <f>IF('User Inputs'!$E$13&gt;='RORO Capital'!$B33,K$12,0)</f>
        <v>204956.14103292266</v>
      </c>
      <c r="L33" s="14">
        <f>IF('User Inputs'!$E$13&gt;='RORO Capital'!$B33,L$12,0)</f>
        <v>432725.42373266991</v>
      </c>
      <c r="M33" s="14">
        <f>IF('User Inputs'!$E$13&gt;='RORO Capital'!$B33,M$12,0)</f>
        <v>1105231.362963438</v>
      </c>
      <c r="N33" s="248"/>
      <c r="O33" s="4"/>
      <c r="P33" s="14">
        <f>IF('User Inputs'!$E$13&gt;='RORO Capital'!$B33,P$12,0)</f>
        <v>507061.14067700342</v>
      </c>
      <c r="Q33" s="14">
        <f>IF('User Inputs'!$E$13&gt;='RORO Capital'!$B33,Q$12,0)</f>
        <v>463505.05652993306</v>
      </c>
      <c r="R33" s="14">
        <f>IF('User Inputs'!$E$13&gt;='RORO Capital'!$B33,R$12,0)</f>
        <v>1109877.3452724589</v>
      </c>
      <c r="S33" s="14">
        <f>IF('User Inputs'!$E$13&gt;='RORO Capital'!$B33,S$12,0)</f>
        <v>1899694.3378060032</v>
      </c>
    </row>
    <row r="34" spans="1:19" x14ac:dyDescent="0.25">
      <c r="A34" s="4" t="s">
        <v>42</v>
      </c>
      <c r="B34" s="33">
        <v>18</v>
      </c>
      <c r="C34" s="14">
        <f>IF('User Inputs'!$E$13&gt;='RORO Capital'!$B34,C$12,0)</f>
        <v>304960.91023459646</v>
      </c>
      <c r="D34" s="14">
        <f>IF('User Inputs'!$E$13&gt;='RORO Capital'!$B34,D$12,0)</f>
        <v>334230.59878142783</v>
      </c>
      <c r="E34" s="14">
        <f>IF('User Inputs'!$E$13&gt;='RORO Capital'!$B34,E$12,0)</f>
        <v>771301.38450256432</v>
      </c>
      <c r="F34" s="14">
        <f>IF('User Inputs'!$E$13&gt;='RORO Capital'!$B34,F$12,0)</f>
        <v>1502462.8503847206</v>
      </c>
      <c r="G34" s="248"/>
      <c r="H34" s="4" t="s">
        <v>42</v>
      </c>
      <c r="I34" s="33">
        <v>18</v>
      </c>
      <c r="J34" s="14">
        <f>IF('User Inputs'!$E$13&gt;='RORO Capital'!$B34,J$12,0)</f>
        <v>102860.67979218948</v>
      </c>
      <c r="K34" s="14">
        <f>IF('User Inputs'!$E$13&gt;='RORO Capital'!$B34,K$12,0)</f>
        <v>204956.14103292266</v>
      </c>
      <c r="L34" s="14">
        <f>IF('User Inputs'!$E$13&gt;='RORO Capital'!$B34,L$12,0)</f>
        <v>432725.42373266991</v>
      </c>
      <c r="M34" s="14">
        <f>IF('User Inputs'!$E$13&gt;='RORO Capital'!$B34,M$12,0)</f>
        <v>1105231.362963438</v>
      </c>
      <c r="N34" s="248"/>
      <c r="O34" s="4"/>
      <c r="P34" s="14">
        <f>IF('User Inputs'!$E$13&gt;='RORO Capital'!$B34,P$12,0)</f>
        <v>507061.14067700342</v>
      </c>
      <c r="Q34" s="14">
        <f>IF('User Inputs'!$E$13&gt;='RORO Capital'!$B34,Q$12,0)</f>
        <v>463505.05652993306</v>
      </c>
      <c r="R34" s="14">
        <f>IF('User Inputs'!$E$13&gt;='RORO Capital'!$B34,R$12,0)</f>
        <v>1109877.3452724589</v>
      </c>
      <c r="S34" s="14">
        <f>IF('User Inputs'!$E$13&gt;='RORO Capital'!$B34,S$12,0)</f>
        <v>1899694.3378060032</v>
      </c>
    </row>
    <row r="35" spans="1:19" x14ac:dyDescent="0.25">
      <c r="A35" s="4" t="s">
        <v>42</v>
      </c>
      <c r="B35" s="33">
        <v>19</v>
      </c>
      <c r="C35" s="14">
        <f>IF('User Inputs'!$E$13&gt;='RORO Capital'!$B35,C$12,0)</f>
        <v>304960.91023459646</v>
      </c>
      <c r="D35" s="14">
        <f>IF('User Inputs'!$E$13&gt;='RORO Capital'!$B35,D$12,0)</f>
        <v>334230.59878142783</v>
      </c>
      <c r="E35" s="14">
        <f>IF('User Inputs'!$E$13&gt;='RORO Capital'!$B35,E$12,0)</f>
        <v>771301.38450256432</v>
      </c>
      <c r="F35" s="14">
        <f>IF('User Inputs'!$E$13&gt;='RORO Capital'!$B35,F$12,0)</f>
        <v>1502462.8503847206</v>
      </c>
      <c r="G35" s="248"/>
      <c r="H35" s="4" t="s">
        <v>42</v>
      </c>
      <c r="I35" s="33">
        <v>19</v>
      </c>
      <c r="J35" s="14">
        <f>IF('User Inputs'!$E$13&gt;='RORO Capital'!$B35,J$12,0)</f>
        <v>102860.67979218948</v>
      </c>
      <c r="K35" s="14">
        <f>IF('User Inputs'!$E$13&gt;='RORO Capital'!$B35,K$12,0)</f>
        <v>204956.14103292266</v>
      </c>
      <c r="L35" s="14">
        <f>IF('User Inputs'!$E$13&gt;='RORO Capital'!$B35,L$12,0)</f>
        <v>432725.42373266991</v>
      </c>
      <c r="M35" s="14">
        <f>IF('User Inputs'!$E$13&gt;='RORO Capital'!$B35,M$12,0)</f>
        <v>1105231.362963438</v>
      </c>
      <c r="N35" s="248"/>
      <c r="O35" s="4"/>
      <c r="P35" s="14">
        <f>IF('User Inputs'!$E$13&gt;='RORO Capital'!$B35,P$12,0)</f>
        <v>507061.14067700342</v>
      </c>
      <c r="Q35" s="14">
        <f>IF('User Inputs'!$E$13&gt;='RORO Capital'!$B35,Q$12,0)</f>
        <v>463505.05652993306</v>
      </c>
      <c r="R35" s="14">
        <f>IF('User Inputs'!$E$13&gt;='RORO Capital'!$B35,R$12,0)</f>
        <v>1109877.3452724589</v>
      </c>
      <c r="S35" s="14">
        <f>IF('User Inputs'!$E$13&gt;='RORO Capital'!$B35,S$12,0)</f>
        <v>1899694.3378060032</v>
      </c>
    </row>
    <row r="36" spans="1:19" x14ac:dyDescent="0.25">
      <c r="A36" s="4" t="s">
        <v>42</v>
      </c>
      <c r="B36" s="33">
        <v>20</v>
      </c>
      <c r="C36" s="14">
        <f>IF('User Inputs'!$E$13&gt;='RORO Capital'!$B36,C$12,0)</f>
        <v>304960.91023459646</v>
      </c>
      <c r="D36" s="14">
        <f>IF('User Inputs'!$E$13&gt;='RORO Capital'!$B36,D$12,0)</f>
        <v>334230.59878142783</v>
      </c>
      <c r="E36" s="14">
        <f>IF('User Inputs'!$E$13&gt;='RORO Capital'!$B36,E$12,0)</f>
        <v>771301.38450256432</v>
      </c>
      <c r="F36" s="14">
        <f>IF('User Inputs'!$E$13&gt;='RORO Capital'!$B36,F$12,0)</f>
        <v>1502462.8503847206</v>
      </c>
      <c r="G36" s="248"/>
      <c r="H36" s="4" t="s">
        <v>42</v>
      </c>
      <c r="I36" s="33">
        <v>20</v>
      </c>
      <c r="J36" s="14">
        <f>IF('User Inputs'!$E$13&gt;='RORO Capital'!$B36,J$12,0)</f>
        <v>102860.67979218948</v>
      </c>
      <c r="K36" s="14">
        <f>IF('User Inputs'!$E$13&gt;='RORO Capital'!$B36,K$12,0)</f>
        <v>204956.14103292266</v>
      </c>
      <c r="L36" s="14">
        <f>IF('User Inputs'!$E$13&gt;='RORO Capital'!$B36,L$12,0)</f>
        <v>432725.42373266991</v>
      </c>
      <c r="M36" s="14">
        <f>IF('User Inputs'!$E$13&gt;='RORO Capital'!$B36,M$12,0)</f>
        <v>1105231.362963438</v>
      </c>
      <c r="N36" s="248"/>
      <c r="O36" s="4"/>
      <c r="P36" s="14">
        <f>IF('User Inputs'!$E$13&gt;='RORO Capital'!$B36,P$12,0)</f>
        <v>507061.14067700342</v>
      </c>
      <c r="Q36" s="14">
        <f>IF('User Inputs'!$E$13&gt;='RORO Capital'!$B36,Q$12,0)</f>
        <v>463505.05652993306</v>
      </c>
      <c r="R36" s="14">
        <f>IF('User Inputs'!$E$13&gt;='RORO Capital'!$B36,R$12,0)</f>
        <v>1109877.3452724589</v>
      </c>
      <c r="S36" s="14">
        <f>IF('User Inputs'!$E$13&gt;='RORO Capital'!$B36,S$12,0)</f>
        <v>1899694.3378060032</v>
      </c>
    </row>
    <row r="37" spans="1:19" x14ac:dyDescent="0.25">
      <c r="A37" s="4" t="s">
        <v>42</v>
      </c>
      <c r="B37" s="33">
        <v>21</v>
      </c>
      <c r="C37" s="14">
        <f>IF('User Inputs'!$E$13&gt;='RORO Capital'!$B37,C$12,0)</f>
        <v>0</v>
      </c>
      <c r="D37" s="14">
        <f>IF('User Inputs'!$E$13&gt;='RORO Capital'!$B37,D$12,0)</f>
        <v>0</v>
      </c>
      <c r="E37" s="14">
        <f>IF('User Inputs'!$E$13&gt;='RORO Capital'!$B37,E$12,0)</f>
        <v>0</v>
      </c>
      <c r="F37" s="14">
        <f>IF('User Inputs'!$E$13&gt;='RORO Capital'!$B37,F$12,0)</f>
        <v>0</v>
      </c>
      <c r="G37" s="248"/>
      <c r="H37" s="4" t="s">
        <v>42</v>
      </c>
      <c r="I37" s="33">
        <v>21</v>
      </c>
      <c r="J37" s="14">
        <f>IF('User Inputs'!$E$13&gt;='RORO Capital'!$B37,J$12,0)</f>
        <v>0</v>
      </c>
      <c r="K37" s="14">
        <f>IF('User Inputs'!$E$13&gt;='RORO Capital'!$B37,K$12,0)</f>
        <v>0</v>
      </c>
      <c r="L37" s="14">
        <f>IF('User Inputs'!$E$13&gt;='RORO Capital'!$B37,L$12,0)</f>
        <v>0</v>
      </c>
      <c r="M37" s="14">
        <f>IF('User Inputs'!$E$13&gt;='RORO Capital'!$B37,M$12,0)</f>
        <v>0</v>
      </c>
      <c r="N37" s="248"/>
      <c r="O37" s="4"/>
      <c r="P37" s="14">
        <f>IF('User Inputs'!$E$13&gt;='RORO Capital'!$B37,P$12,0)</f>
        <v>0</v>
      </c>
      <c r="Q37" s="14">
        <f>IF('User Inputs'!$E$13&gt;='RORO Capital'!$B37,Q$12,0)</f>
        <v>0</v>
      </c>
      <c r="R37" s="14">
        <f>IF('User Inputs'!$E$13&gt;='RORO Capital'!$B37,R$12,0)</f>
        <v>0</v>
      </c>
      <c r="S37" s="14">
        <f>IF('User Inputs'!$E$13&gt;='RORO Capital'!$B37,S$12,0)</f>
        <v>0</v>
      </c>
    </row>
    <row r="38" spans="1:19" x14ac:dyDescent="0.25">
      <c r="A38" s="4" t="s">
        <v>42</v>
      </c>
      <c r="B38" s="33">
        <v>22</v>
      </c>
      <c r="C38" s="14">
        <f>IF('User Inputs'!$E$13&gt;='RORO Capital'!$B38,C$12,0)</f>
        <v>0</v>
      </c>
      <c r="D38" s="14">
        <f>IF('User Inputs'!$E$13&gt;='RORO Capital'!$B38,D$12,0)</f>
        <v>0</v>
      </c>
      <c r="E38" s="14">
        <f>IF('User Inputs'!$E$13&gt;='RORO Capital'!$B38,E$12,0)</f>
        <v>0</v>
      </c>
      <c r="F38" s="14">
        <f>IF('User Inputs'!$E$13&gt;='RORO Capital'!$B38,F$12,0)</f>
        <v>0</v>
      </c>
      <c r="G38" s="248"/>
      <c r="H38" s="4" t="s">
        <v>42</v>
      </c>
      <c r="I38" s="33">
        <v>22</v>
      </c>
      <c r="J38" s="14">
        <f>IF('User Inputs'!$E$13&gt;='RORO Capital'!$B38,J$12,0)</f>
        <v>0</v>
      </c>
      <c r="K38" s="14">
        <f>IF('User Inputs'!$E$13&gt;='RORO Capital'!$B38,K$12,0)</f>
        <v>0</v>
      </c>
      <c r="L38" s="14">
        <f>IF('User Inputs'!$E$13&gt;='RORO Capital'!$B38,L$12,0)</f>
        <v>0</v>
      </c>
      <c r="M38" s="14">
        <f>IF('User Inputs'!$E$13&gt;='RORO Capital'!$B38,M$12,0)</f>
        <v>0</v>
      </c>
      <c r="N38" s="248"/>
      <c r="O38" s="4"/>
      <c r="P38" s="14">
        <f>IF('User Inputs'!$E$13&gt;='RORO Capital'!$B38,P$12,0)</f>
        <v>0</v>
      </c>
      <c r="Q38" s="14">
        <f>IF('User Inputs'!$E$13&gt;='RORO Capital'!$B38,Q$12,0)</f>
        <v>0</v>
      </c>
      <c r="R38" s="14">
        <f>IF('User Inputs'!$E$13&gt;='RORO Capital'!$B38,R$12,0)</f>
        <v>0</v>
      </c>
      <c r="S38" s="14">
        <f>IF('User Inputs'!$E$13&gt;='RORO Capital'!$B38,S$12,0)</f>
        <v>0</v>
      </c>
    </row>
    <row r="39" spans="1:19" x14ac:dyDescent="0.25">
      <c r="A39" s="4" t="s">
        <v>42</v>
      </c>
      <c r="B39" s="33">
        <v>23</v>
      </c>
      <c r="C39" s="14">
        <f>IF('User Inputs'!$E$13&gt;='RORO Capital'!$B39,C$12,0)</f>
        <v>0</v>
      </c>
      <c r="D39" s="14">
        <f>IF('User Inputs'!$E$13&gt;='RORO Capital'!$B39,D$12,0)</f>
        <v>0</v>
      </c>
      <c r="E39" s="14">
        <f>IF('User Inputs'!$E$13&gt;='RORO Capital'!$B39,E$12,0)</f>
        <v>0</v>
      </c>
      <c r="F39" s="14">
        <f>IF('User Inputs'!$E$13&gt;='RORO Capital'!$B39,F$12,0)</f>
        <v>0</v>
      </c>
      <c r="G39" s="248"/>
      <c r="H39" s="4" t="s">
        <v>42</v>
      </c>
      <c r="I39" s="33">
        <v>23</v>
      </c>
      <c r="J39" s="14">
        <f>IF('User Inputs'!$E$13&gt;='RORO Capital'!$B39,J$12,0)</f>
        <v>0</v>
      </c>
      <c r="K39" s="14">
        <f>IF('User Inputs'!$E$13&gt;='RORO Capital'!$B39,K$12,0)</f>
        <v>0</v>
      </c>
      <c r="L39" s="14">
        <f>IF('User Inputs'!$E$13&gt;='RORO Capital'!$B39,L$12,0)</f>
        <v>0</v>
      </c>
      <c r="M39" s="14">
        <f>IF('User Inputs'!$E$13&gt;='RORO Capital'!$B39,M$12,0)</f>
        <v>0</v>
      </c>
      <c r="N39" s="248"/>
      <c r="O39" s="4"/>
      <c r="P39" s="14">
        <f>IF('User Inputs'!$E$13&gt;='RORO Capital'!$B39,P$12,0)</f>
        <v>0</v>
      </c>
      <c r="Q39" s="14">
        <f>IF('User Inputs'!$E$13&gt;='RORO Capital'!$B39,Q$12,0)</f>
        <v>0</v>
      </c>
      <c r="R39" s="14">
        <f>IF('User Inputs'!$E$13&gt;='RORO Capital'!$B39,R$12,0)</f>
        <v>0</v>
      </c>
      <c r="S39" s="14">
        <f>IF('User Inputs'!$E$13&gt;='RORO Capital'!$B39,S$12,0)</f>
        <v>0</v>
      </c>
    </row>
    <row r="40" spans="1:19" x14ac:dyDescent="0.25">
      <c r="A40" s="4" t="s">
        <v>42</v>
      </c>
      <c r="B40" s="33">
        <v>24</v>
      </c>
      <c r="C40" s="14">
        <f>IF('User Inputs'!$E$13&gt;='RORO Capital'!$B40,C$12,0)</f>
        <v>0</v>
      </c>
      <c r="D40" s="14">
        <f>IF('User Inputs'!$E$13&gt;='RORO Capital'!$B40,D$12,0)</f>
        <v>0</v>
      </c>
      <c r="E40" s="14">
        <f>IF('User Inputs'!$E$13&gt;='RORO Capital'!$B40,E$12,0)</f>
        <v>0</v>
      </c>
      <c r="F40" s="14">
        <f>IF('User Inputs'!$E$13&gt;='RORO Capital'!$B40,F$12,0)</f>
        <v>0</v>
      </c>
      <c r="G40" s="248"/>
      <c r="H40" s="4" t="s">
        <v>42</v>
      </c>
      <c r="I40" s="33">
        <v>24</v>
      </c>
      <c r="J40" s="14">
        <f>IF('User Inputs'!$E$13&gt;='RORO Capital'!$B40,J$12,0)</f>
        <v>0</v>
      </c>
      <c r="K40" s="14">
        <f>IF('User Inputs'!$E$13&gt;='RORO Capital'!$B40,K$12,0)</f>
        <v>0</v>
      </c>
      <c r="L40" s="14">
        <f>IF('User Inputs'!$E$13&gt;='RORO Capital'!$B40,L$12,0)</f>
        <v>0</v>
      </c>
      <c r="M40" s="14">
        <f>IF('User Inputs'!$E$13&gt;='RORO Capital'!$B40,M$12,0)</f>
        <v>0</v>
      </c>
      <c r="N40" s="248"/>
      <c r="O40" s="4"/>
      <c r="P40" s="14">
        <f>IF('User Inputs'!$E$13&gt;='RORO Capital'!$B40,P$12,0)</f>
        <v>0</v>
      </c>
      <c r="Q40" s="14">
        <f>IF('User Inputs'!$E$13&gt;='RORO Capital'!$B40,Q$12,0)</f>
        <v>0</v>
      </c>
      <c r="R40" s="14">
        <f>IF('User Inputs'!$E$13&gt;='RORO Capital'!$B40,R$12,0)</f>
        <v>0</v>
      </c>
      <c r="S40" s="14">
        <f>IF('User Inputs'!$E$13&gt;='RORO Capital'!$B40,S$12,0)</f>
        <v>0</v>
      </c>
    </row>
    <row r="41" spans="1:19" x14ac:dyDescent="0.25">
      <c r="A41" s="4" t="s">
        <v>42</v>
      </c>
      <c r="B41" s="33">
        <v>25</v>
      </c>
      <c r="C41" s="14">
        <f>IF('User Inputs'!$E$13&gt;='RORO Capital'!$B41,C$12,0)</f>
        <v>0</v>
      </c>
      <c r="D41" s="14">
        <f>IF('User Inputs'!$E$13&gt;='RORO Capital'!$B41,D$12,0)</f>
        <v>0</v>
      </c>
      <c r="E41" s="14">
        <f>IF('User Inputs'!$E$13&gt;='RORO Capital'!$B41,E$12,0)</f>
        <v>0</v>
      </c>
      <c r="F41" s="14">
        <f>IF('User Inputs'!$E$13&gt;='RORO Capital'!$B41,F$12,0)</f>
        <v>0</v>
      </c>
      <c r="G41" s="248"/>
      <c r="H41" s="4" t="s">
        <v>42</v>
      </c>
      <c r="I41" s="33">
        <v>25</v>
      </c>
      <c r="J41" s="14">
        <f>IF('User Inputs'!$E$13&gt;='RORO Capital'!$B41,J$12,0)</f>
        <v>0</v>
      </c>
      <c r="K41" s="14">
        <f>IF('User Inputs'!$E$13&gt;='RORO Capital'!$B41,K$12,0)</f>
        <v>0</v>
      </c>
      <c r="L41" s="14">
        <f>IF('User Inputs'!$E$13&gt;='RORO Capital'!$B41,L$12,0)</f>
        <v>0</v>
      </c>
      <c r="M41" s="14">
        <f>IF('User Inputs'!$E$13&gt;='RORO Capital'!$B41,M$12,0)</f>
        <v>0</v>
      </c>
      <c r="N41" s="248"/>
      <c r="O41" s="4"/>
      <c r="P41" s="14">
        <f>IF('User Inputs'!$E$13&gt;='RORO Capital'!$B41,P$12,0)</f>
        <v>0</v>
      </c>
      <c r="Q41" s="14">
        <f>IF('User Inputs'!$E$13&gt;='RORO Capital'!$B41,Q$12,0)</f>
        <v>0</v>
      </c>
      <c r="R41" s="14">
        <f>IF('User Inputs'!$E$13&gt;='RORO Capital'!$B41,R$12,0)</f>
        <v>0</v>
      </c>
      <c r="S41" s="14">
        <f>IF('User Inputs'!$E$13&gt;='RORO Capital'!$B41,S$12,0)</f>
        <v>0</v>
      </c>
    </row>
    <row r="42" spans="1:19" x14ac:dyDescent="0.25">
      <c r="A42" s="4" t="s">
        <v>42</v>
      </c>
      <c r="B42" s="33">
        <v>26</v>
      </c>
      <c r="C42" s="14">
        <f>IF('User Inputs'!$E$13&gt;='RORO Capital'!$B42,C$12,0)</f>
        <v>0</v>
      </c>
      <c r="D42" s="14">
        <f>IF('User Inputs'!$E$13&gt;='RORO Capital'!$B42,D$12,0)</f>
        <v>0</v>
      </c>
      <c r="E42" s="14">
        <f>IF('User Inputs'!$E$13&gt;='RORO Capital'!$B42,E$12,0)</f>
        <v>0</v>
      </c>
      <c r="F42" s="14">
        <f>IF('User Inputs'!$E$13&gt;='RORO Capital'!$B42,F$12,0)</f>
        <v>0</v>
      </c>
      <c r="G42" s="248"/>
      <c r="H42" s="4" t="s">
        <v>42</v>
      </c>
      <c r="I42" s="33">
        <v>26</v>
      </c>
      <c r="J42" s="14">
        <f>IF('User Inputs'!$E$13&gt;='RORO Capital'!$B42,J$12,0)</f>
        <v>0</v>
      </c>
      <c r="K42" s="14">
        <f>IF('User Inputs'!$E$13&gt;='RORO Capital'!$B42,K$12,0)</f>
        <v>0</v>
      </c>
      <c r="L42" s="14">
        <f>IF('User Inputs'!$E$13&gt;='RORO Capital'!$B42,L$12,0)</f>
        <v>0</v>
      </c>
      <c r="M42" s="14">
        <f>IF('User Inputs'!$E$13&gt;='RORO Capital'!$B42,M$12,0)</f>
        <v>0</v>
      </c>
      <c r="N42" s="248"/>
      <c r="O42" s="4"/>
      <c r="P42" s="14">
        <f>IF('User Inputs'!$E$13&gt;='RORO Capital'!$B42,P$12,0)</f>
        <v>0</v>
      </c>
      <c r="Q42" s="14">
        <f>IF('User Inputs'!$E$13&gt;='RORO Capital'!$B42,Q$12,0)</f>
        <v>0</v>
      </c>
      <c r="R42" s="14">
        <f>IF('User Inputs'!$E$13&gt;='RORO Capital'!$B42,R$12,0)</f>
        <v>0</v>
      </c>
      <c r="S42" s="14">
        <f>IF('User Inputs'!$E$13&gt;='RORO Capital'!$B42,S$12,0)</f>
        <v>0</v>
      </c>
    </row>
    <row r="43" spans="1:19" x14ac:dyDescent="0.25">
      <c r="A43" s="4" t="s">
        <v>42</v>
      </c>
      <c r="B43" s="33">
        <v>27</v>
      </c>
      <c r="C43" s="14">
        <f>IF('User Inputs'!$E$13&gt;='RORO Capital'!$B43,C$12,0)</f>
        <v>0</v>
      </c>
      <c r="D43" s="14">
        <f>IF('User Inputs'!$E$13&gt;='RORO Capital'!$B43,D$12,0)</f>
        <v>0</v>
      </c>
      <c r="E43" s="14">
        <f>IF('User Inputs'!$E$13&gt;='RORO Capital'!$B43,E$12,0)</f>
        <v>0</v>
      </c>
      <c r="F43" s="14">
        <f>IF('User Inputs'!$E$13&gt;='RORO Capital'!$B43,F$12,0)</f>
        <v>0</v>
      </c>
      <c r="G43" s="248"/>
      <c r="H43" s="4" t="s">
        <v>42</v>
      </c>
      <c r="I43" s="33">
        <v>27</v>
      </c>
      <c r="J43" s="14">
        <f>IF('User Inputs'!$E$13&gt;='RORO Capital'!$B43,J$12,0)</f>
        <v>0</v>
      </c>
      <c r="K43" s="14">
        <f>IF('User Inputs'!$E$13&gt;='RORO Capital'!$B43,K$12,0)</f>
        <v>0</v>
      </c>
      <c r="L43" s="14">
        <f>IF('User Inputs'!$E$13&gt;='RORO Capital'!$B43,L$12,0)</f>
        <v>0</v>
      </c>
      <c r="M43" s="14">
        <f>IF('User Inputs'!$E$13&gt;='RORO Capital'!$B43,M$12,0)</f>
        <v>0</v>
      </c>
      <c r="N43" s="248"/>
      <c r="O43" s="4"/>
      <c r="P43" s="14">
        <f>IF('User Inputs'!$E$13&gt;='RORO Capital'!$B43,P$12,0)</f>
        <v>0</v>
      </c>
      <c r="Q43" s="14">
        <f>IF('User Inputs'!$E$13&gt;='RORO Capital'!$B43,Q$12,0)</f>
        <v>0</v>
      </c>
      <c r="R43" s="14">
        <f>IF('User Inputs'!$E$13&gt;='RORO Capital'!$B43,R$12,0)</f>
        <v>0</v>
      </c>
      <c r="S43" s="14">
        <f>IF('User Inputs'!$E$13&gt;='RORO Capital'!$B43,S$12,0)</f>
        <v>0</v>
      </c>
    </row>
    <row r="44" spans="1:19" x14ac:dyDescent="0.25">
      <c r="A44" s="4" t="s">
        <v>42</v>
      </c>
      <c r="B44" s="33">
        <v>28</v>
      </c>
      <c r="C44" s="14">
        <f>IF('User Inputs'!$E$13&gt;='RORO Capital'!$B44,C$12,0)</f>
        <v>0</v>
      </c>
      <c r="D44" s="14">
        <f>IF('User Inputs'!$E$13&gt;='RORO Capital'!$B44,D$12,0)</f>
        <v>0</v>
      </c>
      <c r="E44" s="14">
        <f>IF('User Inputs'!$E$13&gt;='RORO Capital'!$B44,E$12,0)</f>
        <v>0</v>
      </c>
      <c r="F44" s="14">
        <f>IF('User Inputs'!$E$13&gt;='RORO Capital'!$B44,F$12,0)</f>
        <v>0</v>
      </c>
      <c r="G44" s="248"/>
      <c r="H44" s="4" t="s">
        <v>42</v>
      </c>
      <c r="I44" s="33">
        <v>28</v>
      </c>
      <c r="J44" s="14">
        <f>IF('User Inputs'!$E$13&gt;='RORO Capital'!$B44,J$12,0)</f>
        <v>0</v>
      </c>
      <c r="K44" s="14">
        <f>IF('User Inputs'!$E$13&gt;='RORO Capital'!$B44,K$12,0)</f>
        <v>0</v>
      </c>
      <c r="L44" s="14">
        <f>IF('User Inputs'!$E$13&gt;='RORO Capital'!$B44,L$12,0)</f>
        <v>0</v>
      </c>
      <c r="M44" s="14">
        <f>IF('User Inputs'!$E$13&gt;='RORO Capital'!$B44,M$12,0)</f>
        <v>0</v>
      </c>
      <c r="N44" s="248"/>
      <c r="O44" s="4"/>
      <c r="P44" s="14">
        <f>IF('User Inputs'!$E$13&gt;='RORO Capital'!$B44,P$12,0)</f>
        <v>0</v>
      </c>
      <c r="Q44" s="14">
        <f>IF('User Inputs'!$E$13&gt;='RORO Capital'!$B44,Q$12,0)</f>
        <v>0</v>
      </c>
      <c r="R44" s="14">
        <f>IF('User Inputs'!$E$13&gt;='RORO Capital'!$B44,R$12,0)</f>
        <v>0</v>
      </c>
      <c r="S44" s="14">
        <f>IF('User Inputs'!$E$13&gt;='RORO Capital'!$B44,S$12,0)</f>
        <v>0</v>
      </c>
    </row>
    <row r="45" spans="1:19" x14ac:dyDescent="0.25">
      <c r="A45" s="4" t="s">
        <v>42</v>
      </c>
      <c r="B45" s="33">
        <v>29</v>
      </c>
      <c r="C45" s="14">
        <f>IF('User Inputs'!$E$13&gt;='RORO Capital'!$B45,C$12,0)</f>
        <v>0</v>
      </c>
      <c r="D45" s="14">
        <f>IF('User Inputs'!$E$13&gt;='RORO Capital'!$B45,D$12,0)</f>
        <v>0</v>
      </c>
      <c r="E45" s="14">
        <f>IF('User Inputs'!$E$13&gt;='RORO Capital'!$B45,E$12,0)</f>
        <v>0</v>
      </c>
      <c r="F45" s="14">
        <f>IF('User Inputs'!$E$13&gt;='RORO Capital'!$B45,F$12,0)</f>
        <v>0</v>
      </c>
      <c r="G45" s="248"/>
      <c r="H45" s="4" t="s">
        <v>42</v>
      </c>
      <c r="I45" s="33">
        <v>29</v>
      </c>
      <c r="J45" s="14">
        <f>IF('User Inputs'!$E$13&gt;='RORO Capital'!$B45,J$12,0)</f>
        <v>0</v>
      </c>
      <c r="K45" s="14">
        <f>IF('User Inputs'!$E$13&gt;='RORO Capital'!$B45,K$12,0)</f>
        <v>0</v>
      </c>
      <c r="L45" s="14">
        <f>IF('User Inputs'!$E$13&gt;='RORO Capital'!$B45,L$12,0)</f>
        <v>0</v>
      </c>
      <c r="M45" s="14">
        <f>IF('User Inputs'!$E$13&gt;='RORO Capital'!$B45,M$12,0)</f>
        <v>0</v>
      </c>
      <c r="N45" s="248"/>
      <c r="O45" s="4"/>
      <c r="P45" s="14">
        <f>IF('User Inputs'!$E$13&gt;='RORO Capital'!$B45,P$12,0)</f>
        <v>0</v>
      </c>
      <c r="Q45" s="14">
        <f>IF('User Inputs'!$E$13&gt;='RORO Capital'!$B45,Q$12,0)</f>
        <v>0</v>
      </c>
      <c r="R45" s="14">
        <f>IF('User Inputs'!$E$13&gt;='RORO Capital'!$B45,R$12,0)</f>
        <v>0</v>
      </c>
      <c r="S45" s="14">
        <f>IF('User Inputs'!$E$13&gt;='RORO Capital'!$B45,S$12,0)</f>
        <v>0</v>
      </c>
    </row>
    <row r="46" spans="1:19" x14ac:dyDescent="0.25">
      <c r="A46" s="4" t="s">
        <v>42</v>
      </c>
      <c r="B46" s="33">
        <v>30</v>
      </c>
      <c r="C46" s="14">
        <f>IF('User Inputs'!$E$13&gt;='RORO Capital'!$B46,C$12,0)</f>
        <v>0</v>
      </c>
      <c r="D46" s="14">
        <f>IF('User Inputs'!$E$13&gt;='RORO Capital'!$B46,D$12,0)</f>
        <v>0</v>
      </c>
      <c r="E46" s="14">
        <f>IF('User Inputs'!$E$13&gt;='RORO Capital'!$B46,E$12,0)</f>
        <v>0</v>
      </c>
      <c r="F46" s="14">
        <f>IF('User Inputs'!$E$13&gt;='RORO Capital'!$B46,F$12,0)</f>
        <v>0</v>
      </c>
      <c r="G46" s="248"/>
      <c r="H46" s="4" t="s">
        <v>42</v>
      </c>
      <c r="I46" s="33">
        <v>30</v>
      </c>
      <c r="J46" s="14">
        <f>IF('User Inputs'!$E$13&gt;='RORO Capital'!$B46,J$12,0)</f>
        <v>0</v>
      </c>
      <c r="K46" s="14">
        <f>IF('User Inputs'!$E$13&gt;='RORO Capital'!$B46,K$12,0)</f>
        <v>0</v>
      </c>
      <c r="L46" s="14">
        <f>IF('User Inputs'!$E$13&gt;='RORO Capital'!$B46,L$12,0)</f>
        <v>0</v>
      </c>
      <c r="M46" s="14">
        <f>IF('User Inputs'!$E$13&gt;='RORO Capital'!$B46,M$12,0)</f>
        <v>0</v>
      </c>
      <c r="N46" s="248"/>
      <c r="O46" s="4"/>
      <c r="P46" s="14">
        <f>IF('User Inputs'!$E$13&gt;='RORO Capital'!$B46,P$12,0)</f>
        <v>0</v>
      </c>
      <c r="Q46" s="14">
        <f>IF('User Inputs'!$E$13&gt;='RORO Capital'!$B46,Q$12,0)</f>
        <v>0</v>
      </c>
      <c r="R46" s="14">
        <f>IF('User Inputs'!$E$13&gt;='RORO Capital'!$B46,R$12,0)</f>
        <v>0</v>
      </c>
      <c r="S46" s="14">
        <f>IF('User Inputs'!$E$13&gt;='RORO Capital'!$B46,S$12,0)</f>
        <v>0</v>
      </c>
    </row>
    <row r="47" spans="1:19" x14ac:dyDescent="0.25">
      <c r="A47" s="4" t="s">
        <v>42</v>
      </c>
      <c r="B47" s="33">
        <v>31</v>
      </c>
      <c r="C47" s="14">
        <f>IF('User Inputs'!$E$13&gt;='RORO Capital'!$B47,C$12,0)</f>
        <v>0</v>
      </c>
      <c r="D47" s="14">
        <f>IF('User Inputs'!$E$13&gt;='RORO Capital'!$B47,D$12,0)</f>
        <v>0</v>
      </c>
      <c r="E47" s="14">
        <f>IF('User Inputs'!$E$13&gt;='RORO Capital'!$B47,E$12,0)</f>
        <v>0</v>
      </c>
      <c r="F47" s="14">
        <f>IF('User Inputs'!$E$13&gt;='RORO Capital'!$B47,F$12,0)</f>
        <v>0</v>
      </c>
      <c r="G47" s="248"/>
      <c r="H47" s="4" t="s">
        <v>42</v>
      </c>
      <c r="I47" s="33">
        <v>31</v>
      </c>
      <c r="J47" s="14">
        <f>IF('User Inputs'!$E$13&gt;='RORO Capital'!$B47,J$12,0)</f>
        <v>0</v>
      </c>
      <c r="K47" s="14">
        <f>IF('User Inputs'!$E$13&gt;='RORO Capital'!$B47,K$12,0)</f>
        <v>0</v>
      </c>
      <c r="L47" s="14">
        <f>IF('User Inputs'!$E$13&gt;='RORO Capital'!$B47,L$12,0)</f>
        <v>0</v>
      </c>
      <c r="M47" s="14">
        <f>IF('User Inputs'!$E$13&gt;='RORO Capital'!$B47,M$12,0)</f>
        <v>0</v>
      </c>
      <c r="N47" s="248"/>
      <c r="O47" s="4"/>
      <c r="P47" s="14">
        <f>IF('User Inputs'!$E$13&gt;='RORO Capital'!$B47,P$12,0)</f>
        <v>0</v>
      </c>
      <c r="Q47" s="14">
        <f>IF('User Inputs'!$E$13&gt;='RORO Capital'!$B47,Q$12,0)</f>
        <v>0</v>
      </c>
      <c r="R47" s="14">
        <f>IF('User Inputs'!$E$13&gt;='RORO Capital'!$B47,R$12,0)</f>
        <v>0</v>
      </c>
      <c r="S47" s="14">
        <f>IF('User Inputs'!$E$13&gt;='RORO Capital'!$B47,S$12,0)</f>
        <v>0</v>
      </c>
    </row>
    <row r="48" spans="1:19" x14ac:dyDescent="0.25">
      <c r="A48" s="4" t="s">
        <v>42</v>
      </c>
      <c r="B48" s="33">
        <v>32</v>
      </c>
      <c r="C48" s="14">
        <f>IF('User Inputs'!$E$13&gt;='RORO Capital'!$B48,C$12,0)</f>
        <v>0</v>
      </c>
      <c r="D48" s="14">
        <f>IF('User Inputs'!$E$13&gt;='RORO Capital'!$B48,D$12,0)</f>
        <v>0</v>
      </c>
      <c r="E48" s="14">
        <f>IF('User Inputs'!$E$13&gt;='RORO Capital'!$B48,E$12,0)</f>
        <v>0</v>
      </c>
      <c r="F48" s="14">
        <f>IF('User Inputs'!$E$13&gt;='RORO Capital'!$B48,F$12,0)</f>
        <v>0</v>
      </c>
      <c r="G48" s="248"/>
      <c r="H48" s="4" t="s">
        <v>42</v>
      </c>
      <c r="I48" s="33">
        <v>32</v>
      </c>
      <c r="J48" s="14">
        <f>IF('User Inputs'!$E$13&gt;='RORO Capital'!$B48,J$12,0)</f>
        <v>0</v>
      </c>
      <c r="K48" s="14">
        <f>IF('User Inputs'!$E$13&gt;='RORO Capital'!$B48,K$12,0)</f>
        <v>0</v>
      </c>
      <c r="L48" s="14">
        <f>IF('User Inputs'!$E$13&gt;='RORO Capital'!$B48,L$12,0)</f>
        <v>0</v>
      </c>
      <c r="M48" s="14">
        <f>IF('User Inputs'!$E$13&gt;='RORO Capital'!$B48,M$12,0)</f>
        <v>0</v>
      </c>
      <c r="N48" s="248"/>
      <c r="O48" s="4"/>
      <c r="P48" s="14">
        <f>IF('User Inputs'!$E$13&gt;='RORO Capital'!$B48,P$12,0)</f>
        <v>0</v>
      </c>
      <c r="Q48" s="14">
        <f>IF('User Inputs'!$E$13&gt;='RORO Capital'!$B48,Q$12,0)</f>
        <v>0</v>
      </c>
      <c r="R48" s="14">
        <f>IF('User Inputs'!$E$13&gt;='RORO Capital'!$B48,R$12,0)</f>
        <v>0</v>
      </c>
      <c r="S48" s="14">
        <f>IF('User Inputs'!$E$13&gt;='RORO Capital'!$B48,S$12,0)</f>
        <v>0</v>
      </c>
    </row>
    <row r="49" spans="1:19" x14ac:dyDescent="0.25">
      <c r="A49" s="4" t="s">
        <v>42</v>
      </c>
      <c r="B49" s="33">
        <v>33</v>
      </c>
      <c r="C49" s="14">
        <f>IF('User Inputs'!$E$13&gt;='RORO Capital'!$B49,C$12,0)</f>
        <v>0</v>
      </c>
      <c r="D49" s="14">
        <f>IF('User Inputs'!$E$13&gt;='RORO Capital'!$B49,D$12,0)</f>
        <v>0</v>
      </c>
      <c r="E49" s="14">
        <f>IF('User Inputs'!$E$13&gt;='RORO Capital'!$B49,E$12,0)</f>
        <v>0</v>
      </c>
      <c r="F49" s="14">
        <f>IF('User Inputs'!$E$13&gt;='RORO Capital'!$B49,F$12,0)</f>
        <v>0</v>
      </c>
      <c r="G49" s="248"/>
      <c r="H49" s="4" t="s">
        <v>42</v>
      </c>
      <c r="I49" s="33">
        <v>33</v>
      </c>
      <c r="J49" s="14">
        <f>IF('User Inputs'!$E$13&gt;='RORO Capital'!$B49,J$12,0)</f>
        <v>0</v>
      </c>
      <c r="K49" s="14">
        <f>IF('User Inputs'!$E$13&gt;='RORO Capital'!$B49,K$12,0)</f>
        <v>0</v>
      </c>
      <c r="L49" s="14">
        <f>IF('User Inputs'!$E$13&gt;='RORO Capital'!$B49,L$12,0)</f>
        <v>0</v>
      </c>
      <c r="M49" s="14">
        <f>IF('User Inputs'!$E$13&gt;='RORO Capital'!$B49,M$12,0)</f>
        <v>0</v>
      </c>
      <c r="N49" s="248"/>
      <c r="O49" s="4"/>
      <c r="P49" s="14">
        <f>IF('User Inputs'!$E$13&gt;='RORO Capital'!$B49,P$12,0)</f>
        <v>0</v>
      </c>
      <c r="Q49" s="14">
        <f>IF('User Inputs'!$E$13&gt;='RORO Capital'!$B49,Q$12,0)</f>
        <v>0</v>
      </c>
      <c r="R49" s="14">
        <f>IF('User Inputs'!$E$13&gt;='RORO Capital'!$B49,R$12,0)</f>
        <v>0</v>
      </c>
      <c r="S49" s="14">
        <f>IF('User Inputs'!$E$13&gt;='RORO Capital'!$B49,S$12,0)</f>
        <v>0</v>
      </c>
    </row>
    <row r="50" spans="1:19" x14ac:dyDescent="0.25">
      <c r="A50" s="4" t="s">
        <v>42</v>
      </c>
      <c r="B50" s="33">
        <v>34</v>
      </c>
      <c r="C50" s="14">
        <f>IF('User Inputs'!$E$13&gt;='RORO Capital'!$B50,C$12,0)</f>
        <v>0</v>
      </c>
      <c r="D50" s="14">
        <f>IF('User Inputs'!$E$13&gt;='RORO Capital'!$B50,D$12,0)</f>
        <v>0</v>
      </c>
      <c r="E50" s="14">
        <f>IF('User Inputs'!$E$13&gt;='RORO Capital'!$B50,E$12,0)</f>
        <v>0</v>
      </c>
      <c r="F50" s="14">
        <f>IF('User Inputs'!$E$13&gt;='RORO Capital'!$B50,F$12,0)</f>
        <v>0</v>
      </c>
      <c r="G50" s="248"/>
      <c r="H50" s="4" t="s">
        <v>42</v>
      </c>
      <c r="I50" s="33">
        <v>34</v>
      </c>
      <c r="J50" s="14">
        <f>IF('User Inputs'!$E$13&gt;='RORO Capital'!$B50,J$12,0)</f>
        <v>0</v>
      </c>
      <c r="K50" s="14">
        <f>IF('User Inputs'!$E$13&gt;='RORO Capital'!$B50,K$12,0)</f>
        <v>0</v>
      </c>
      <c r="L50" s="14">
        <f>IF('User Inputs'!$E$13&gt;='RORO Capital'!$B50,L$12,0)</f>
        <v>0</v>
      </c>
      <c r="M50" s="14">
        <f>IF('User Inputs'!$E$13&gt;='RORO Capital'!$B50,M$12,0)</f>
        <v>0</v>
      </c>
      <c r="N50" s="248"/>
      <c r="O50" s="4"/>
      <c r="P50" s="14">
        <f>IF('User Inputs'!$E$13&gt;='RORO Capital'!$B50,P$12,0)</f>
        <v>0</v>
      </c>
      <c r="Q50" s="14">
        <f>IF('User Inputs'!$E$13&gt;='RORO Capital'!$B50,Q$12,0)</f>
        <v>0</v>
      </c>
      <c r="R50" s="14">
        <f>IF('User Inputs'!$E$13&gt;='RORO Capital'!$B50,R$12,0)</f>
        <v>0</v>
      </c>
      <c r="S50" s="14">
        <f>IF('User Inputs'!$E$13&gt;='RORO Capital'!$B50,S$12,0)</f>
        <v>0</v>
      </c>
    </row>
    <row r="51" spans="1:19" x14ac:dyDescent="0.25">
      <c r="A51" s="4" t="s">
        <v>42</v>
      </c>
      <c r="B51" s="33">
        <v>35</v>
      </c>
      <c r="C51" s="14">
        <f>IF('User Inputs'!$E$13&gt;='RORO Capital'!$B51,C$12,0)</f>
        <v>0</v>
      </c>
      <c r="D51" s="14">
        <f>IF('User Inputs'!$E$13&gt;='RORO Capital'!$B51,D$12,0)</f>
        <v>0</v>
      </c>
      <c r="E51" s="14">
        <f>IF('User Inputs'!$E$13&gt;='RORO Capital'!$B51,E$12,0)</f>
        <v>0</v>
      </c>
      <c r="F51" s="14">
        <f>IF('User Inputs'!$E$13&gt;='RORO Capital'!$B51,F$12,0)</f>
        <v>0</v>
      </c>
      <c r="G51" s="248"/>
      <c r="H51" s="4" t="s">
        <v>42</v>
      </c>
      <c r="I51" s="33">
        <v>35</v>
      </c>
      <c r="J51" s="14">
        <f>IF('User Inputs'!$E$13&gt;='RORO Capital'!$B51,J$12,0)</f>
        <v>0</v>
      </c>
      <c r="K51" s="14">
        <f>IF('User Inputs'!$E$13&gt;='RORO Capital'!$B51,K$12,0)</f>
        <v>0</v>
      </c>
      <c r="L51" s="14">
        <f>IF('User Inputs'!$E$13&gt;='RORO Capital'!$B51,L$12,0)</f>
        <v>0</v>
      </c>
      <c r="M51" s="14">
        <f>IF('User Inputs'!$E$13&gt;='RORO Capital'!$B51,M$12,0)</f>
        <v>0</v>
      </c>
      <c r="N51" s="248"/>
      <c r="O51" s="4"/>
      <c r="P51" s="14">
        <f>IF('User Inputs'!$E$13&gt;='RORO Capital'!$B51,P$12,0)</f>
        <v>0</v>
      </c>
      <c r="Q51" s="14">
        <f>IF('User Inputs'!$E$13&gt;='RORO Capital'!$B51,Q$12,0)</f>
        <v>0</v>
      </c>
      <c r="R51" s="14">
        <f>IF('User Inputs'!$E$13&gt;='RORO Capital'!$B51,R$12,0)</f>
        <v>0</v>
      </c>
      <c r="S51" s="14">
        <f>IF('User Inputs'!$E$13&gt;='RORO Capital'!$B51,S$12,0)</f>
        <v>0</v>
      </c>
    </row>
    <row r="52" spans="1:19" x14ac:dyDescent="0.25">
      <c r="A52" s="4" t="s">
        <v>42</v>
      </c>
      <c r="B52" s="33">
        <v>36</v>
      </c>
      <c r="C52" s="14">
        <f>IF('User Inputs'!$E$13&gt;='RORO Capital'!$B52,C$12,0)</f>
        <v>0</v>
      </c>
      <c r="D52" s="14">
        <f>IF('User Inputs'!$E$13&gt;='RORO Capital'!$B52,D$12,0)</f>
        <v>0</v>
      </c>
      <c r="E52" s="14">
        <f>IF('User Inputs'!$E$13&gt;='RORO Capital'!$B52,E$12,0)</f>
        <v>0</v>
      </c>
      <c r="F52" s="14">
        <f>IF('User Inputs'!$E$13&gt;='RORO Capital'!$B52,F$12,0)</f>
        <v>0</v>
      </c>
      <c r="G52" s="248"/>
      <c r="H52" s="4" t="s">
        <v>42</v>
      </c>
      <c r="I52" s="33">
        <v>36</v>
      </c>
      <c r="J52" s="14">
        <f>IF('User Inputs'!$E$13&gt;='RORO Capital'!$B52,J$12,0)</f>
        <v>0</v>
      </c>
      <c r="K52" s="14">
        <f>IF('User Inputs'!$E$13&gt;='RORO Capital'!$B52,K$12,0)</f>
        <v>0</v>
      </c>
      <c r="L52" s="14">
        <f>IF('User Inputs'!$E$13&gt;='RORO Capital'!$B52,L$12,0)</f>
        <v>0</v>
      </c>
      <c r="M52" s="14">
        <f>IF('User Inputs'!$E$13&gt;='RORO Capital'!$B52,M$12,0)</f>
        <v>0</v>
      </c>
      <c r="N52" s="248"/>
      <c r="O52" s="4"/>
      <c r="P52" s="14">
        <f>IF('User Inputs'!$E$13&gt;='RORO Capital'!$B52,P$12,0)</f>
        <v>0</v>
      </c>
      <c r="Q52" s="14">
        <f>IF('User Inputs'!$E$13&gt;='RORO Capital'!$B52,Q$12,0)</f>
        <v>0</v>
      </c>
      <c r="R52" s="14">
        <f>IF('User Inputs'!$E$13&gt;='RORO Capital'!$B52,R$12,0)</f>
        <v>0</v>
      </c>
      <c r="S52" s="14">
        <f>IF('User Inputs'!$E$13&gt;='RORO Capital'!$B52,S$12,0)</f>
        <v>0</v>
      </c>
    </row>
    <row r="53" spans="1:19" x14ac:dyDescent="0.25">
      <c r="A53" s="4" t="s">
        <v>42</v>
      </c>
      <c r="B53" s="33">
        <v>37</v>
      </c>
      <c r="C53" s="14">
        <f>IF('User Inputs'!$E$13&gt;='RORO Capital'!$B53,C$12,0)</f>
        <v>0</v>
      </c>
      <c r="D53" s="14">
        <f>IF('User Inputs'!$E$13&gt;='RORO Capital'!$B53,D$12,0)</f>
        <v>0</v>
      </c>
      <c r="E53" s="14">
        <f>IF('User Inputs'!$E$13&gt;='RORO Capital'!$B53,E$12,0)</f>
        <v>0</v>
      </c>
      <c r="F53" s="14">
        <f>IF('User Inputs'!$E$13&gt;='RORO Capital'!$B53,F$12,0)</f>
        <v>0</v>
      </c>
      <c r="G53" s="248"/>
      <c r="H53" s="4" t="s">
        <v>42</v>
      </c>
      <c r="I53" s="33">
        <v>37</v>
      </c>
      <c r="J53" s="14">
        <f>IF('User Inputs'!$E$13&gt;='RORO Capital'!$B53,J$12,0)</f>
        <v>0</v>
      </c>
      <c r="K53" s="14">
        <f>IF('User Inputs'!$E$13&gt;='RORO Capital'!$B53,K$12,0)</f>
        <v>0</v>
      </c>
      <c r="L53" s="14">
        <f>IF('User Inputs'!$E$13&gt;='RORO Capital'!$B53,L$12,0)</f>
        <v>0</v>
      </c>
      <c r="M53" s="14">
        <f>IF('User Inputs'!$E$13&gt;='RORO Capital'!$B53,M$12,0)</f>
        <v>0</v>
      </c>
      <c r="N53" s="248"/>
      <c r="O53" s="4"/>
      <c r="P53" s="14">
        <f>IF('User Inputs'!$E$13&gt;='RORO Capital'!$B53,P$12,0)</f>
        <v>0</v>
      </c>
      <c r="Q53" s="14">
        <f>IF('User Inputs'!$E$13&gt;='RORO Capital'!$B53,Q$12,0)</f>
        <v>0</v>
      </c>
      <c r="R53" s="14">
        <f>IF('User Inputs'!$E$13&gt;='RORO Capital'!$B53,R$12,0)</f>
        <v>0</v>
      </c>
      <c r="S53" s="14">
        <f>IF('User Inputs'!$E$13&gt;='RORO Capital'!$B53,S$12,0)</f>
        <v>0</v>
      </c>
    </row>
    <row r="54" spans="1:19" x14ac:dyDescent="0.25">
      <c r="A54" s="4" t="s">
        <v>42</v>
      </c>
      <c r="B54" s="33">
        <v>38</v>
      </c>
      <c r="C54" s="14">
        <f>IF('User Inputs'!$E$13&gt;='RORO Capital'!$B54,C$12,0)</f>
        <v>0</v>
      </c>
      <c r="D54" s="14">
        <f>IF('User Inputs'!$E$13&gt;='RORO Capital'!$B54,D$12,0)</f>
        <v>0</v>
      </c>
      <c r="E54" s="14">
        <f>IF('User Inputs'!$E$13&gt;='RORO Capital'!$B54,E$12,0)</f>
        <v>0</v>
      </c>
      <c r="F54" s="14">
        <f>IF('User Inputs'!$E$13&gt;='RORO Capital'!$B54,F$12,0)</f>
        <v>0</v>
      </c>
      <c r="G54" s="248"/>
      <c r="H54" s="4" t="s">
        <v>42</v>
      </c>
      <c r="I54" s="33">
        <v>38</v>
      </c>
      <c r="J54" s="14">
        <f>IF('User Inputs'!$E$13&gt;='RORO Capital'!$B54,J$12,0)</f>
        <v>0</v>
      </c>
      <c r="K54" s="14">
        <f>IF('User Inputs'!$E$13&gt;='RORO Capital'!$B54,K$12,0)</f>
        <v>0</v>
      </c>
      <c r="L54" s="14">
        <f>IF('User Inputs'!$E$13&gt;='RORO Capital'!$B54,L$12,0)</f>
        <v>0</v>
      </c>
      <c r="M54" s="14">
        <f>IF('User Inputs'!$E$13&gt;='RORO Capital'!$B54,M$12,0)</f>
        <v>0</v>
      </c>
      <c r="N54" s="248"/>
      <c r="O54" s="4"/>
      <c r="P54" s="14">
        <f>IF('User Inputs'!$E$13&gt;='RORO Capital'!$B54,P$12,0)</f>
        <v>0</v>
      </c>
      <c r="Q54" s="14">
        <f>IF('User Inputs'!$E$13&gt;='RORO Capital'!$B54,Q$12,0)</f>
        <v>0</v>
      </c>
      <c r="R54" s="14">
        <f>IF('User Inputs'!$E$13&gt;='RORO Capital'!$B54,R$12,0)</f>
        <v>0</v>
      </c>
      <c r="S54" s="14">
        <f>IF('User Inputs'!$E$13&gt;='RORO Capital'!$B54,S$12,0)</f>
        <v>0</v>
      </c>
    </row>
    <row r="55" spans="1:19" x14ac:dyDescent="0.25">
      <c r="A55" s="4" t="s">
        <v>42</v>
      </c>
      <c r="B55" s="33">
        <v>39</v>
      </c>
      <c r="C55" s="14">
        <f>IF('User Inputs'!$E$13&gt;='RORO Capital'!$B55,C$12,0)</f>
        <v>0</v>
      </c>
      <c r="D55" s="14">
        <f>IF('User Inputs'!$E$13&gt;='RORO Capital'!$B55,D$12,0)</f>
        <v>0</v>
      </c>
      <c r="E55" s="14">
        <f>IF('User Inputs'!$E$13&gt;='RORO Capital'!$B55,E$12,0)</f>
        <v>0</v>
      </c>
      <c r="F55" s="14">
        <f>IF('User Inputs'!$E$13&gt;='RORO Capital'!$B55,F$12,0)</f>
        <v>0</v>
      </c>
      <c r="G55" s="248"/>
      <c r="H55" s="4" t="s">
        <v>42</v>
      </c>
      <c r="I55" s="33">
        <v>39</v>
      </c>
      <c r="J55" s="14">
        <f>IF('User Inputs'!$E$13&gt;='RORO Capital'!$B55,J$12,0)</f>
        <v>0</v>
      </c>
      <c r="K55" s="14">
        <f>IF('User Inputs'!$E$13&gt;='RORO Capital'!$B55,K$12,0)</f>
        <v>0</v>
      </c>
      <c r="L55" s="14">
        <f>IF('User Inputs'!$E$13&gt;='RORO Capital'!$B55,L$12,0)</f>
        <v>0</v>
      </c>
      <c r="M55" s="14">
        <f>IF('User Inputs'!$E$13&gt;='RORO Capital'!$B55,M$12,0)</f>
        <v>0</v>
      </c>
      <c r="N55" s="248"/>
      <c r="O55" s="4"/>
      <c r="P55" s="14">
        <f>IF('User Inputs'!$E$13&gt;='RORO Capital'!$B55,P$12,0)</f>
        <v>0</v>
      </c>
      <c r="Q55" s="14">
        <f>IF('User Inputs'!$E$13&gt;='RORO Capital'!$B55,Q$12,0)</f>
        <v>0</v>
      </c>
      <c r="R55" s="14">
        <f>IF('User Inputs'!$E$13&gt;='RORO Capital'!$B55,R$12,0)</f>
        <v>0</v>
      </c>
      <c r="S55" s="14">
        <f>IF('User Inputs'!$E$13&gt;='RORO Capital'!$B55,S$12,0)</f>
        <v>0</v>
      </c>
    </row>
    <row r="56" spans="1:19" x14ac:dyDescent="0.25">
      <c r="A56" s="4" t="s">
        <v>42</v>
      </c>
      <c r="B56" s="33">
        <v>40</v>
      </c>
      <c r="C56" s="14">
        <f>IF('User Inputs'!$E$13&gt;='RORO Capital'!$B56,C$12,0)</f>
        <v>0</v>
      </c>
      <c r="D56" s="14">
        <f>IF('User Inputs'!$E$13&gt;='RORO Capital'!$B56,D$12,0)</f>
        <v>0</v>
      </c>
      <c r="E56" s="14">
        <f>IF('User Inputs'!$E$13&gt;='RORO Capital'!$B56,E$12,0)</f>
        <v>0</v>
      </c>
      <c r="F56" s="14">
        <f>IF('User Inputs'!$E$13&gt;='RORO Capital'!$B56,F$12,0)</f>
        <v>0</v>
      </c>
      <c r="G56" s="248"/>
      <c r="H56" s="4" t="s">
        <v>42</v>
      </c>
      <c r="I56" s="33">
        <v>40</v>
      </c>
      <c r="J56" s="14">
        <f>IF('User Inputs'!$E$13&gt;='RORO Capital'!$B56,J$12,0)</f>
        <v>0</v>
      </c>
      <c r="K56" s="14">
        <f>IF('User Inputs'!$E$13&gt;='RORO Capital'!$B56,K$12,0)</f>
        <v>0</v>
      </c>
      <c r="L56" s="14">
        <f>IF('User Inputs'!$E$13&gt;='RORO Capital'!$B56,L$12,0)</f>
        <v>0</v>
      </c>
      <c r="M56" s="14">
        <f>IF('User Inputs'!$E$13&gt;='RORO Capital'!$B56,M$12,0)</f>
        <v>0</v>
      </c>
      <c r="N56" s="248"/>
      <c r="O56" s="4"/>
      <c r="P56" s="14">
        <f>IF('User Inputs'!$E$13&gt;='RORO Capital'!$B56,P$12,0)</f>
        <v>0</v>
      </c>
      <c r="Q56" s="14">
        <f>IF('User Inputs'!$E$13&gt;='RORO Capital'!$B56,Q$12,0)</f>
        <v>0</v>
      </c>
      <c r="R56" s="14">
        <f>IF('User Inputs'!$E$13&gt;='RORO Capital'!$B56,R$12,0)</f>
        <v>0</v>
      </c>
      <c r="S56" s="14">
        <f>IF('User Inputs'!$E$13&gt;='RORO Capital'!$B56,S$12,0)</f>
        <v>0</v>
      </c>
    </row>
  </sheetData>
  <sheetProtection password="EF95" sheet="1" objects="1" scenarios="1"/>
  <mergeCells count="1">
    <mergeCell ref="A15:B15"/>
  </mergeCells>
  <pageMargins left="0.25" right="0.25" top="0.75" bottom="0.75" header="0.3" footer="0.3"/>
  <pageSetup orientation="landscape" r:id="rId1"/>
  <headerFooter>
    <oddHeader xml:space="preserve">&amp;CCapital Costs
</oddHeader>
    <oddFooter>&amp;C&amp;D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6"/>
  <sheetViews>
    <sheetView view="pageLayout" zoomScale="90" zoomScaleNormal="100" zoomScalePageLayoutView="90" workbookViewId="0">
      <selection sqref="A1:A4"/>
    </sheetView>
  </sheetViews>
  <sheetFormatPr defaultRowHeight="15" x14ac:dyDescent="0.25"/>
  <cols>
    <col min="1" max="1" width="24.28515625" customWidth="1"/>
    <col min="2" max="2" width="3.28515625" customWidth="1"/>
    <col min="3" max="3" width="12.85546875" customWidth="1"/>
    <col min="4" max="4" width="12" customWidth="1"/>
    <col min="5" max="5" width="13.7109375" customWidth="1"/>
    <col min="6" max="6" width="14.28515625" bestFit="1" customWidth="1"/>
    <col min="7" max="7" width="12.140625" style="9" customWidth="1"/>
    <col min="8" max="8" width="6.7109375" customWidth="1"/>
    <col min="9" max="9" width="4.5703125" customWidth="1"/>
    <col min="10" max="10" width="13.42578125" customWidth="1"/>
    <col min="11" max="11" width="13.28515625" customWidth="1"/>
    <col min="12" max="12" width="13.5703125" customWidth="1"/>
    <col min="13" max="13" width="13.85546875" customWidth="1"/>
    <col min="14" max="14" width="8.28515625" style="9" customWidth="1"/>
    <col min="15" max="15" width="4.85546875" bestFit="1" customWidth="1"/>
    <col min="16" max="16" width="5.5703125" bestFit="1" customWidth="1"/>
    <col min="17" max="17" width="12.5703125" bestFit="1" customWidth="1"/>
    <col min="18" max="18" width="14.28515625" customWidth="1"/>
    <col min="19" max="19" width="14.28515625" bestFit="1" customWidth="1"/>
    <col min="20" max="20" width="14.28515625" customWidth="1"/>
  </cols>
  <sheetData>
    <row r="1" spans="1:20" x14ac:dyDescent="0.25">
      <c r="A1" s="17"/>
      <c r="B1" s="73"/>
      <c r="D1">
        <f>0.035*0.6</f>
        <v>2.1000000000000001E-2</v>
      </c>
      <c r="E1">
        <f>0.035*0.4</f>
        <v>1.4000000000000002E-2</v>
      </c>
    </row>
    <row r="2" spans="1:20" ht="24.75" x14ac:dyDescent="0.25">
      <c r="A2" s="115" t="s">
        <v>92</v>
      </c>
      <c r="B2" s="2"/>
      <c r="C2" s="201" t="str">
        <f>'RORO Capital'!C1</f>
        <v>RORO &lt;100 Pax, &lt;10 Veh</v>
      </c>
      <c r="D2" s="201" t="str">
        <f>'RORO Capital'!D1</f>
        <v>RORO &lt;500 Pax, &lt;10 Veh</v>
      </c>
      <c r="E2" s="201" t="str">
        <f>'RORO Capital'!E1</f>
        <v>RORO &lt;500 Pax, &lt;50 Veh</v>
      </c>
      <c r="F2" s="201" t="str">
        <f>'RORO Capital'!F1</f>
        <v>RORO 250-500 Pax, 45-100 Veh</v>
      </c>
      <c r="G2" s="250"/>
      <c r="H2" s="115" t="s">
        <v>90</v>
      </c>
      <c r="J2" s="201" t="str">
        <f>C2</f>
        <v>RORO &lt;100 Pax, &lt;10 Veh</v>
      </c>
      <c r="K2" s="201" t="str">
        <f t="shared" ref="K2:M4" si="0">D2</f>
        <v>RORO &lt;500 Pax, &lt;10 Veh</v>
      </c>
      <c r="L2" s="201" t="str">
        <f t="shared" si="0"/>
        <v>RORO &lt;500 Pax, &lt;50 Veh</v>
      </c>
      <c r="M2" s="201" t="str">
        <f t="shared" si="0"/>
        <v>RORO 250-500 Pax, 45-100 Veh</v>
      </c>
      <c r="N2" s="250"/>
      <c r="P2" s="115" t="s">
        <v>91</v>
      </c>
      <c r="Q2" s="201" t="str">
        <f>J2</f>
        <v>RORO &lt;100 Pax, &lt;10 Veh</v>
      </c>
      <c r="R2" s="201" t="str">
        <f t="shared" ref="R2:T4" si="1">K2</f>
        <v>RORO &lt;500 Pax, &lt;10 Veh</v>
      </c>
      <c r="S2" s="201" t="str">
        <f t="shared" si="1"/>
        <v>RORO &lt;500 Pax, &lt;50 Veh</v>
      </c>
      <c r="T2" s="201" t="str">
        <f t="shared" si="1"/>
        <v>RORO 250-500 Pax, 45-100 Veh</v>
      </c>
    </row>
    <row r="3" spans="1:20" x14ac:dyDescent="0.25">
      <c r="A3" s="48" t="s">
        <v>29</v>
      </c>
      <c r="B3" s="74"/>
      <c r="C3" s="13">
        <f>'RORO Service Overview'!B14</f>
        <v>3060</v>
      </c>
      <c r="D3" s="13">
        <f>'RORO Service Overview'!C14</f>
        <v>1590</v>
      </c>
      <c r="E3" s="13">
        <f>'RORO Service Overview'!D14</f>
        <v>1590</v>
      </c>
      <c r="F3" s="13">
        <f>'RORO Service Overview'!E14</f>
        <v>1140</v>
      </c>
      <c r="G3" s="260"/>
      <c r="H3" s="48"/>
      <c r="I3" s="74"/>
      <c r="J3" s="13">
        <f>C3</f>
        <v>3060</v>
      </c>
      <c r="K3" s="13">
        <f t="shared" si="0"/>
        <v>1590</v>
      </c>
      <c r="L3" s="13">
        <f t="shared" si="0"/>
        <v>1590</v>
      </c>
      <c r="M3" s="13">
        <f t="shared" si="0"/>
        <v>1140</v>
      </c>
      <c r="N3" s="299"/>
      <c r="P3" s="48"/>
      <c r="Q3" s="13">
        <f>J3</f>
        <v>3060</v>
      </c>
      <c r="R3" s="13">
        <f t="shared" si="1"/>
        <v>1590</v>
      </c>
      <c r="S3" s="13">
        <f t="shared" si="1"/>
        <v>1590</v>
      </c>
      <c r="T3" s="13">
        <f t="shared" si="1"/>
        <v>1140</v>
      </c>
    </row>
    <row r="4" spans="1:20" x14ac:dyDescent="0.25">
      <c r="A4" s="30" t="s">
        <v>34</v>
      </c>
      <c r="B4" s="34" t="s">
        <v>142</v>
      </c>
      <c r="C4" s="14">
        <f>+'Vessel Data'!K37*'RORO Service Overview'!B14*'User Inputs'!$E5</f>
        <v>206785.23749999999</v>
      </c>
      <c r="D4" s="14">
        <f>+'Vessel Data'!L37*'RORO Service Overview'!C14*'User Inputs'!$E5</f>
        <v>166370.64375000002</v>
      </c>
      <c r="E4" s="14">
        <f>+'Vessel Data'!M37*'RORO Service Overview'!D14*'User Inputs'!$E5</f>
        <v>195832.35</v>
      </c>
      <c r="F4" s="14">
        <f>+'Vessel Data'!N37*'RORO Service Overview'!E14*'User Inputs'!$E5</f>
        <v>182655.07500000001</v>
      </c>
      <c r="G4" s="248"/>
      <c r="H4" s="30"/>
      <c r="I4" s="34"/>
      <c r="J4" s="14">
        <f>C4</f>
        <v>206785.23749999999</v>
      </c>
      <c r="K4" s="14">
        <f t="shared" si="0"/>
        <v>166370.64375000002</v>
      </c>
      <c r="L4" s="14">
        <f t="shared" si="0"/>
        <v>195832.35</v>
      </c>
      <c r="M4" s="14">
        <f t="shared" si="0"/>
        <v>182655.07500000001</v>
      </c>
      <c r="N4" s="248"/>
      <c r="O4" s="30"/>
      <c r="P4" s="34"/>
      <c r="Q4" s="14">
        <f>J4</f>
        <v>206785.23749999999</v>
      </c>
      <c r="R4" s="14">
        <f t="shared" si="1"/>
        <v>166370.64375000002</v>
      </c>
      <c r="S4" s="14">
        <f t="shared" si="1"/>
        <v>195832.35</v>
      </c>
      <c r="T4" s="14">
        <f t="shared" si="1"/>
        <v>182655.07500000001</v>
      </c>
    </row>
    <row r="5" spans="1:20" x14ac:dyDescent="0.25">
      <c r="A5" s="30" t="s">
        <v>2</v>
      </c>
      <c r="B5" s="34" t="s">
        <v>142</v>
      </c>
      <c r="C5" s="14">
        <f>AVERAGE('Vessel Data'!K39:K40)*C3</f>
        <v>114044.51647542858</v>
      </c>
      <c r="D5" s="14">
        <f>AVERAGE('Vessel Data'!L39:L40)*D3</f>
        <v>191085.56728258068</v>
      </c>
      <c r="E5" s="14">
        <f>AVERAGE('Vessel Data'!M39:M40)*E3</f>
        <v>254576.24281347104</v>
      </c>
      <c r="F5" s="14">
        <f>AVERAGE('Vessel Data'!N39:N40)*F3</f>
        <v>1078333.8579438361</v>
      </c>
      <c r="G5" s="248"/>
      <c r="H5" s="107"/>
      <c r="I5" s="34"/>
      <c r="J5" s="14">
        <f>'Vessel Data'!K39*'RORO Service Overview'!B14</f>
        <v>81976.940475428579</v>
      </c>
      <c r="K5" s="14">
        <f>'Vessel Data'!L39*'RORO Service Overview'!C14</f>
        <v>136738.13631483875</v>
      </c>
      <c r="L5" s="14">
        <f>'Vessel Data'!M39*'RORO Service Overview'!D14</f>
        <v>153615.43836185811</v>
      </c>
      <c r="M5" s="14">
        <f>'Vessel Data'!N39*'RORO Service Overview'!E14</f>
        <v>1063953.3507714013</v>
      </c>
      <c r="N5" s="248"/>
      <c r="O5" s="107"/>
      <c r="P5" s="34"/>
      <c r="Q5" s="14">
        <f>'Vessel Data'!K40*'RORO Service Overview'!B14</f>
        <v>146112.09247542857</v>
      </c>
      <c r="R5" s="14">
        <f>'Vessel Data'!L40*'RORO Service Overview'!C14</f>
        <v>245432.99825032262</v>
      </c>
      <c r="S5" s="14">
        <f>'Vessel Data'!M40*'RORO Service Overview'!D14</f>
        <v>355537.04726508399</v>
      </c>
      <c r="T5" s="14">
        <f>'Vessel Data'!N40*'RORO Service Overview'!E14</f>
        <v>1092714.3651162707</v>
      </c>
    </row>
    <row r="6" spans="1:20" x14ac:dyDescent="0.25">
      <c r="A6" s="108" t="s">
        <v>3</v>
      </c>
      <c r="B6" s="109" t="s">
        <v>143</v>
      </c>
      <c r="C6" s="110">
        <f t="shared" ref="C6:F7" si="2">AVERAGE(J6,Q6)</f>
        <v>106446.10283742858</v>
      </c>
      <c r="D6" s="110">
        <f t="shared" si="2"/>
        <v>116723.62917042858</v>
      </c>
      <c r="E6" s="110">
        <f t="shared" si="2"/>
        <v>270193.55238471425</v>
      </c>
      <c r="F6" s="110">
        <f t="shared" si="2"/>
        <v>526928.3754968571</v>
      </c>
      <c r="G6" s="261"/>
      <c r="H6" s="51"/>
      <c r="I6" s="75"/>
      <c r="J6" s="110">
        <f>(-'RORO Capital'!J8*0.021+'Vessel Data'!K42*'RORO Service Overview'!B14)*(1+0.02*'User Inputs'!$E23)</f>
        <v>35482.067123142857</v>
      </c>
      <c r="K6" s="110">
        <f>(-'RORO Capital'!K8*0.021+'Vessel Data'!L42*'RORO Service Overview'!C14)*(1+0.02*'User Inputs'!$E23)</f>
        <v>71331.116670428572</v>
      </c>
      <c r="L6" s="110">
        <f>(-'RORO Capital'!L8*0.021+'Vessel Data'!M42*'RORO Service Overview'!D14)*(1+0.02*'User Inputs'!$E23)</f>
        <v>151308.40059899999</v>
      </c>
      <c r="M6" s="110">
        <f>(-'RORO Capital'!M8*0.021+'Vessel Data'!N42*'RORO Service Overview'!E14)*(1+0.02*'User Inputs'!$E23)</f>
        <v>387447.33978257142</v>
      </c>
      <c r="N6" s="261"/>
      <c r="O6" s="51"/>
      <c r="P6" s="75"/>
      <c r="Q6" s="110">
        <f>(-'RORO Capital'!P8*0.021+'Vessel Data'!K42*'RORO Service Overview'!B14)*(1+0.02*'User Inputs'!$E23)</f>
        <v>177410.13855171431</v>
      </c>
      <c r="R6" s="110">
        <f>(-'RORO Capital'!Q8*0.021+'Vessel Data'!L42*'RORO Service Overview'!C14)*(1+0.02*'User Inputs'!$E23)</f>
        <v>162116.14167042859</v>
      </c>
      <c r="S6" s="110">
        <f>(-'RORO Capital'!R8*0.021+'Vessel Data'!M42*'RORO Service Overview'!D14)*(1+0.02*'User Inputs'!$E23)</f>
        <v>389078.70417042857</v>
      </c>
      <c r="T6" s="110">
        <f>(-'RORO Capital'!S8*0.021+'Vessel Data'!N42*'RORO Service Overview'!E14)*(1+0.02*'User Inputs'!$E23)</f>
        <v>666409.4112111429</v>
      </c>
    </row>
    <row r="7" spans="1:20" x14ac:dyDescent="0.25">
      <c r="A7" s="108" t="s">
        <v>38</v>
      </c>
      <c r="B7" s="109" t="s">
        <v>144</v>
      </c>
      <c r="C7" s="110">
        <f t="shared" si="2"/>
        <v>137294.08163265305</v>
      </c>
      <c r="D7" s="110">
        <f t="shared" si="2"/>
        <v>145805.51020408163</v>
      </c>
      <c r="E7" s="110">
        <f t="shared" si="2"/>
        <v>272902.75510204083</v>
      </c>
      <c r="F7" s="110">
        <f t="shared" si="2"/>
        <v>485519.59183673467</v>
      </c>
      <c r="G7" s="261"/>
      <c r="H7" s="51"/>
      <c r="I7" s="75"/>
      <c r="J7" s="110">
        <f>-'RORO Capital'!J8*0.02+0.35*'User Inputs'!$B23</f>
        <v>78524.693877551021</v>
      </c>
      <c r="K7" s="110">
        <f>-'RORO Capital'!K8*0.02+0.35*'User Inputs'!$B23</f>
        <v>108213.36734693877</v>
      </c>
      <c r="L7" s="110">
        <f>-'RORO Capital'!L8*0.02+0.35*'User Inputs'!$B23</f>
        <v>174447.14285714284</v>
      </c>
      <c r="M7" s="110">
        <f>-'RORO Capital'!M8*0.02+0.35*'User Inputs'!$B23</f>
        <v>370007.3469387755</v>
      </c>
      <c r="N7" s="261"/>
      <c r="O7" s="51"/>
      <c r="P7" s="75"/>
      <c r="Q7" s="110">
        <f>-'RORO Capital'!P8*0.02+0.35*'User Inputs'!$B23</f>
        <v>196063.46938775509</v>
      </c>
      <c r="R7" s="110">
        <f>-'RORO Capital'!Q8*0.02+0.35*'User Inputs'!$B23</f>
        <v>183397.6530612245</v>
      </c>
      <c r="S7" s="110">
        <f>-'RORO Capital'!R8*0.02+0.35*'User Inputs'!$B23</f>
        <v>371358.36734693876</v>
      </c>
      <c r="T7" s="110">
        <f>-'RORO Capital'!S8*0.02+0.35*'User Inputs'!$B23</f>
        <v>601031.83673469385</v>
      </c>
    </row>
    <row r="8" spans="1:20" ht="30" x14ac:dyDescent="0.25">
      <c r="A8" s="111" t="s">
        <v>191</v>
      </c>
      <c r="B8" s="112" t="s">
        <v>143</v>
      </c>
      <c r="C8" s="110">
        <f>IF('User Inputs'!$B2="New Service",'User Inputs'!$B$23*'User Inputs'!$E$15+70000, 'User Inputs'!$B$23*'User Inputs'!$E$15)</f>
        <v>154240</v>
      </c>
      <c r="D8" s="110">
        <f>IF('User Inputs'!$B2="New Service",'User Inputs'!$B$23*'User Inputs'!$E$15+70000, 'User Inputs'!$B$23*'User Inputs'!$E$15)</f>
        <v>154240</v>
      </c>
      <c r="E8" s="110">
        <f>IF('User Inputs'!$B2="New Service",'User Inputs'!$B$23*'User Inputs'!$E$15+70000, 'User Inputs'!$B$23*'User Inputs'!$E$15)</f>
        <v>154240</v>
      </c>
      <c r="F8" s="110">
        <f>IF('User Inputs'!$B2="New Service",'User Inputs'!$B$23*'User Inputs'!$E$15+70000, 'User Inputs'!$B$23*'User Inputs'!$E$15)</f>
        <v>154240</v>
      </c>
      <c r="G8" s="262"/>
      <c r="H8" s="64"/>
      <c r="I8" s="76"/>
      <c r="J8" s="110">
        <f>C8</f>
        <v>154240</v>
      </c>
      <c r="K8" s="110">
        <f t="shared" ref="K8:M8" si="3">D8</f>
        <v>154240</v>
      </c>
      <c r="L8" s="110">
        <f t="shared" si="3"/>
        <v>154240</v>
      </c>
      <c r="M8" s="110">
        <f t="shared" si="3"/>
        <v>154240</v>
      </c>
      <c r="N8" s="262"/>
      <c r="O8" s="64"/>
      <c r="P8" s="76"/>
      <c r="Q8" s="110">
        <f>J8</f>
        <v>154240</v>
      </c>
      <c r="R8" s="110">
        <f t="shared" ref="R8:T8" si="4">K8</f>
        <v>154240</v>
      </c>
      <c r="S8" s="110">
        <f t="shared" si="4"/>
        <v>154240</v>
      </c>
      <c r="T8" s="110">
        <f t="shared" si="4"/>
        <v>154240</v>
      </c>
    </row>
    <row r="9" spans="1:20" ht="30" x14ac:dyDescent="0.25">
      <c r="A9" s="65" t="s">
        <v>163</v>
      </c>
      <c r="B9" s="77"/>
      <c r="C9" s="15">
        <f>ROUND(SUM(C4:C8),-3)</f>
        <v>719000</v>
      </c>
      <c r="D9" s="15">
        <f>ROUND(SUM(D4:D8),-3)</f>
        <v>774000</v>
      </c>
      <c r="E9" s="15">
        <f t="shared" ref="E9:F9" si="5">ROUND(SUM(E4:E8),-3)</f>
        <v>1148000</v>
      </c>
      <c r="F9" s="15">
        <f t="shared" si="5"/>
        <v>2428000</v>
      </c>
      <c r="G9" s="263"/>
      <c r="H9" s="65"/>
      <c r="I9" s="77"/>
      <c r="J9" s="15">
        <f t="shared" ref="J9" si="6">ROUND(SUM(J4:J8),-4)</f>
        <v>560000</v>
      </c>
      <c r="K9" s="15">
        <f t="shared" ref="K9:M9" si="7">ROUND(SUM(K4:K8),-4)</f>
        <v>640000</v>
      </c>
      <c r="L9" s="15">
        <f t="shared" si="7"/>
        <v>830000</v>
      </c>
      <c r="M9" s="15">
        <f t="shared" si="7"/>
        <v>2160000</v>
      </c>
      <c r="N9" s="263"/>
      <c r="O9" s="65"/>
      <c r="P9" s="77"/>
      <c r="Q9" s="15">
        <f t="shared" ref="Q9" si="8">ROUND(SUM(Q4:Q8),-4)</f>
        <v>880000</v>
      </c>
      <c r="R9" s="15">
        <f t="shared" ref="R9:T9" si="9">ROUND(SUM(R4:R8),-4)</f>
        <v>910000</v>
      </c>
      <c r="S9" s="15">
        <f t="shared" si="9"/>
        <v>1470000</v>
      </c>
      <c r="T9" s="15">
        <f t="shared" si="9"/>
        <v>2700000</v>
      </c>
    </row>
    <row r="10" spans="1:20" ht="30" x14ac:dyDescent="0.25">
      <c r="A10" s="67" t="s">
        <v>52</v>
      </c>
      <c r="B10" s="78"/>
      <c r="C10" s="14">
        <f>C15/'RORO Service Overview'!B14</f>
        <v>234.96732026143792</v>
      </c>
      <c r="D10" s="14">
        <f>D15/'RORO Service Overview'!C14</f>
        <v>486.79245283018867</v>
      </c>
      <c r="E10" s="14">
        <f>E15/'RORO Service Overview'!D14</f>
        <v>722.01257861635224</v>
      </c>
      <c r="F10" s="14">
        <f>F15/'RORO Service Overview'!E14</f>
        <v>2129.8245614035086</v>
      </c>
      <c r="G10" s="248"/>
      <c r="H10" s="67"/>
      <c r="I10" s="78"/>
      <c r="J10" s="14">
        <f>J15/'RORO Service Overview'!B14</f>
        <v>182.02614379084969</v>
      </c>
      <c r="K10" s="14">
        <f>K15/'RORO Service Overview'!C14</f>
        <v>400.62893081761007</v>
      </c>
      <c r="L10" s="14">
        <f>L15/'RORO Service Overview'!D14</f>
        <v>521.38364779874212</v>
      </c>
      <c r="M10" s="14">
        <f>M15/'RORO Service Overview'!E14</f>
        <v>1892.9824561403509</v>
      </c>
      <c r="N10" s="248"/>
      <c r="O10" s="67"/>
      <c r="P10" s="78"/>
      <c r="Q10" s="14">
        <f>Q15/'RORO Service Overview'!B14</f>
        <v>287.90849673202615</v>
      </c>
      <c r="R10" s="14">
        <f>R15/'RORO Service Overview'!C14</f>
        <v>573.58490566037733</v>
      </c>
      <c r="S10" s="14">
        <f>S15/'RORO Service Overview'!D14</f>
        <v>922.01257861635224</v>
      </c>
      <c r="T10" s="14">
        <f>T15/'RORO Service Overview'!E14</f>
        <v>2365.7894736842104</v>
      </c>
    </row>
    <row r="11" spans="1:20" ht="30" x14ac:dyDescent="0.25">
      <c r="A11" s="66" t="s">
        <v>53</v>
      </c>
      <c r="B11" s="79"/>
      <c r="C11" s="32">
        <f>+C15/'User Inputs'!$B24</f>
        <v>630.70175438596493</v>
      </c>
      <c r="D11" s="32">
        <f>+D15/'User Inputs'!$B24</f>
        <v>678.9473684210526</v>
      </c>
      <c r="E11" s="32">
        <f>+E15/'User Inputs'!$B24</f>
        <v>1007.0175438596491</v>
      </c>
      <c r="F11" s="32">
        <f>+F15/'User Inputs'!$B24</f>
        <v>2129.8245614035086</v>
      </c>
      <c r="G11" s="264"/>
      <c r="H11" s="66"/>
      <c r="I11" s="79"/>
      <c r="J11" s="32">
        <f>+J15/'User Inputs'!$B24</f>
        <v>488.59649122807019</v>
      </c>
      <c r="K11" s="32">
        <f>+K15/'User Inputs'!$B24</f>
        <v>558.77192982456143</v>
      </c>
      <c r="L11" s="32">
        <f>+L15/'User Inputs'!$B24</f>
        <v>727.19298245614038</v>
      </c>
      <c r="M11" s="32">
        <f>+M15/'User Inputs'!$B24</f>
        <v>1892.9824561403509</v>
      </c>
      <c r="N11" s="264"/>
      <c r="O11" s="66"/>
      <c r="P11" s="79"/>
      <c r="Q11" s="32">
        <f>+Q15/'User Inputs'!$B24</f>
        <v>772.80701754385962</v>
      </c>
      <c r="R11" s="32">
        <f>+R15/'User Inputs'!$B24</f>
        <v>800</v>
      </c>
      <c r="S11" s="32">
        <f>+S15/'User Inputs'!$B24</f>
        <v>1285.9649122807018</v>
      </c>
      <c r="T11" s="32">
        <f>+T15/'User Inputs'!$B24</f>
        <v>2365.7894736842104</v>
      </c>
    </row>
    <row r="12" spans="1:20" ht="9" customHeight="1" x14ac:dyDescent="0.25"/>
    <row r="13" spans="1:20" ht="26.25" customHeight="1" x14ac:dyDescent="0.25">
      <c r="A13" s="38" t="s">
        <v>75</v>
      </c>
      <c r="B13" s="34"/>
      <c r="C13" s="37"/>
      <c r="D13" s="37"/>
      <c r="E13" s="35"/>
      <c r="F13" s="35"/>
      <c r="G13" s="248"/>
      <c r="H13" s="38"/>
      <c r="I13" s="34"/>
      <c r="J13" s="37"/>
      <c r="K13" s="37"/>
      <c r="L13" s="35"/>
      <c r="M13" s="35"/>
      <c r="N13" s="248"/>
      <c r="O13" s="38"/>
      <c r="P13" s="34"/>
      <c r="Q13" s="37"/>
      <c r="R13" s="37"/>
      <c r="S13" s="35"/>
      <c r="T13" s="35"/>
    </row>
    <row r="14" spans="1:20" x14ac:dyDescent="0.25">
      <c r="A14" s="4" t="s">
        <v>42</v>
      </c>
      <c r="B14" s="33">
        <v>0</v>
      </c>
      <c r="C14" s="14">
        <f t="shared" ref="C14:F29" si="10">ROUND(C56+C99+C142,-3)</f>
        <v>0</v>
      </c>
      <c r="D14" s="14">
        <f t="shared" si="10"/>
        <v>0</v>
      </c>
      <c r="E14" s="14">
        <f t="shared" si="10"/>
        <v>0</v>
      </c>
      <c r="F14" s="14">
        <f t="shared" si="10"/>
        <v>0</v>
      </c>
      <c r="G14" s="248"/>
      <c r="H14" s="4" t="s">
        <v>42</v>
      </c>
      <c r="I14" s="33">
        <v>0</v>
      </c>
      <c r="J14" s="14">
        <f t="shared" ref="J14:M29" si="11">ROUND(J56+J99+J142,-3)</f>
        <v>0</v>
      </c>
      <c r="K14" s="14">
        <f t="shared" si="11"/>
        <v>0</v>
      </c>
      <c r="L14" s="14">
        <f t="shared" si="11"/>
        <v>0</v>
      </c>
      <c r="M14" s="14">
        <f t="shared" si="11"/>
        <v>0</v>
      </c>
      <c r="N14" s="248"/>
      <c r="O14" s="4" t="s">
        <v>42</v>
      </c>
      <c r="P14" s="33">
        <v>0</v>
      </c>
      <c r="Q14" s="14">
        <f t="shared" ref="Q14:T29" si="12">ROUND(Q56+Q99+Q142,-3)</f>
        <v>0</v>
      </c>
      <c r="R14" s="14">
        <f t="shared" si="12"/>
        <v>0</v>
      </c>
      <c r="S14" s="14">
        <f t="shared" si="12"/>
        <v>0</v>
      </c>
      <c r="T14" s="14">
        <f t="shared" si="12"/>
        <v>0</v>
      </c>
    </row>
    <row r="15" spans="1:20" x14ac:dyDescent="0.25">
      <c r="A15" s="4" t="s">
        <v>42</v>
      </c>
      <c r="B15" s="33">
        <v>1</v>
      </c>
      <c r="C15" s="14">
        <f t="shared" si="10"/>
        <v>719000</v>
      </c>
      <c r="D15" s="14">
        <f t="shared" si="10"/>
        <v>774000</v>
      </c>
      <c r="E15" s="14">
        <f t="shared" si="10"/>
        <v>1148000</v>
      </c>
      <c r="F15" s="14">
        <f t="shared" si="10"/>
        <v>2428000</v>
      </c>
      <c r="G15" s="248"/>
      <c r="H15" s="4" t="s">
        <v>42</v>
      </c>
      <c r="I15" s="33">
        <v>1</v>
      </c>
      <c r="J15" s="14">
        <f t="shared" si="11"/>
        <v>557000</v>
      </c>
      <c r="K15" s="14">
        <f t="shared" si="11"/>
        <v>637000</v>
      </c>
      <c r="L15" s="14">
        <f t="shared" si="11"/>
        <v>829000</v>
      </c>
      <c r="M15" s="14">
        <f t="shared" si="11"/>
        <v>2158000</v>
      </c>
      <c r="N15" s="248"/>
      <c r="O15" s="4" t="s">
        <v>42</v>
      </c>
      <c r="P15" s="33">
        <v>1</v>
      </c>
      <c r="Q15" s="14">
        <f t="shared" si="12"/>
        <v>881000</v>
      </c>
      <c r="R15" s="14">
        <f t="shared" si="12"/>
        <v>912000</v>
      </c>
      <c r="S15" s="14">
        <f t="shared" si="12"/>
        <v>1466000</v>
      </c>
      <c r="T15" s="14">
        <f t="shared" si="12"/>
        <v>2697000</v>
      </c>
    </row>
    <row r="16" spans="1:20" x14ac:dyDescent="0.25">
      <c r="A16" s="4" t="s">
        <v>42</v>
      </c>
      <c r="B16" s="33">
        <v>2</v>
      </c>
      <c r="C16" s="14">
        <f t="shared" si="10"/>
        <v>744000</v>
      </c>
      <c r="D16" s="14">
        <f t="shared" si="10"/>
        <v>807000</v>
      </c>
      <c r="E16" s="14">
        <f t="shared" si="10"/>
        <v>1197000</v>
      </c>
      <c r="F16" s="14">
        <f t="shared" si="10"/>
        <v>2573000</v>
      </c>
      <c r="G16" s="248"/>
      <c r="H16" s="4" t="s">
        <v>42</v>
      </c>
      <c r="I16" s="33">
        <v>2</v>
      </c>
      <c r="J16" s="14">
        <f t="shared" si="11"/>
        <v>575000</v>
      </c>
      <c r="K16" s="14">
        <f t="shared" si="11"/>
        <v>662000</v>
      </c>
      <c r="L16" s="14">
        <f t="shared" si="11"/>
        <v>861000</v>
      </c>
      <c r="M16" s="14">
        <f t="shared" si="11"/>
        <v>2294000</v>
      </c>
      <c r="N16" s="248"/>
      <c r="O16" s="4" t="s">
        <v>42</v>
      </c>
      <c r="P16" s="33">
        <v>2</v>
      </c>
      <c r="Q16" s="14">
        <f t="shared" si="12"/>
        <v>914000</v>
      </c>
      <c r="R16" s="14">
        <f t="shared" si="12"/>
        <v>953000</v>
      </c>
      <c r="S16" s="14">
        <f t="shared" si="12"/>
        <v>1532000</v>
      </c>
      <c r="T16" s="14">
        <f t="shared" si="12"/>
        <v>2852000</v>
      </c>
    </row>
    <row r="17" spans="1:20" x14ac:dyDescent="0.25">
      <c r="A17" s="4" t="s">
        <v>42</v>
      </c>
      <c r="B17" s="33">
        <v>3</v>
      </c>
      <c r="C17" s="14">
        <f t="shared" si="10"/>
        <v>772000</v>
      </c>
      <c r="D17" s="14">
        <f t="shared" si="10"/>
        <v>843000</v>
      </c>
      <c r="E17" s="14">
        <f t="shared" si="10"/>
        <v>1249000</v>
      </c>
      <c r="F17" s="14">
        <f t="shared" si="10"/>
        <v>2731000</v>
      </c>
      <c r="G17" s="248"/>
      <c r="H17" s="4" t="s">
        <v>42</v>
      </c>
      <c r="I17" s="33">
        <v>3</v>
      </c>
      <c r="J17" s="14">
        <f t="shared" si="11"/>
        <v>595000</v>
      </c>
      <c r="K17" s="14">
        <f t="shared" si="11"/>
        <v>689000</v>
      </c>
      <c r="L17" s="14">
        <f t="shared" si="11"/>
        <v>895000</v>
      </c>
      <c r="M17" s="14">
        <f t="shared" si="11"/>
        <v>2442000</v>
      </c>
      <c r="N17" s="248"/>
      <c r="O17" s="4" t="s">
        <v>42</v>
      </c>
      <c r="P17" s="33">
        <v>3</v>
      </c>
      <c r="Q17" s="14">
        <f t="shared" si="12"/>
        <v>948000</v>
      </c>
      <c r="R17" s="14">
        <f t="shared" si="12"/>
        <v>997000</v>
      </c>
      <c r="S17" s="14">
        <f t="shared" si="12"/>
        <v>1602000</v>
      </c>
      <c r="T17" s="14">
        <f t="shared" si="12"/>
        <v>3019000</v>
      </c>
    </row>
    <row r="18" spans="1:20" x14ac:dyDescent="0.25">
      <c r="A18" s="4" t="s">
        <v>42</v>
      </c>
      <c r="B18" s="33">
        <v>4</v>
      </c>
      <c r="C18" s="14">
        <f t="shared" si="10"/>
        <v>800000</v>
      </c>
      <c r="D18" s="14">
        <f t="shared" si="10"/>
        <v>881000</v>
      </c>
      <c r="E18" s="14">
        <f t="shared" si="10"/>
        <v>1304000</v>
      </c>
      <c r="F18" s="14">
        <f t="shared" si="10"/>
        <v>2901000</v>
      </c>
      <c r="G18" s="248"/>
      <c r="H18" s="4" t="s">
        <v>42</v>
      </c>
      <c r="I18" s="33">
        <v>4</v>
      </c>
      <c r="J18" s="14">
        <f t="shared" si="11"/>
        <v>615000</v>
      </c>
      <c r="K18" s="14">
        <f t="shared" si="11"/>
        <v>717000</v>
      </c>
      <c r="L18" s="14">
        <f t="shared" si="11"/>
        <v>931000</v>
      </c>
      <c r="M18" s="14">
        <f t="shared" si="11"/>
        <v>2602000</v>
      </c>
      <c r="N18" s="248"/>
      <c r="O18" s="4" t="s">
        <v>42</v>
      </c>
      <c r="P18" s="33">
        <v>4</v>
      </c>
      <c r="Q18" s="14">
        <f t="shared" si="12"/>
        <v>985000</v>
      </c>
      <c r="R18" s="14">
        <f t="shared" si="12"/>
        <v>1044000</v>
      </c>
      <c r="S18" s="14">
        <f t="shared" si="12"/>
        <v>1676000</v>
      </c>
      <c r="T18" s="14">
        <f t="shared" si="12"/>
        <v>3199000</v>
      </c>
    </row>
    <row r="19" spans="1:20" x14ac:dyDescent="0.25">
      <c r="A19" s="4" t="s">
        <v>42</v>
      </c>
      <c r="B19" s="33">
        <v>5</v>
      </c>
      <c r="C19" s="14">
        <f t="shared" si="10"/>
        <v>831000</v>
      </c>
      <c r="D19" s="14">
        <f t="shared" si="10"/>
        <v>921000</v>
      </c>
      <c r="E19" s="14">
        <f t="shared" si="10"/>
        <v>1363000</v>
      </c>
      <c r="F19" s="14">
        <f t="shared" si="10"/>
        <v>3085000</v>
      </c>
      <c r="G19" s="248"/>
      <c r="H19" s="4" t="s">
        <v>42</v>
      </c>
      <c r="I19" s="33">
        <v>5</v>
      </c>
      <c r="J19" s="14">
        <f t="shared" si="11"/>
        <v>637000</v>
      </c>
      <c r="K19" s="14">
        <f t="shared" si="11"/>
        <v>748000</v>
      </c>
      <c r="L19" s="14">
        <f t="shared" si="11"/>
        <v>970000</v>
      </c>
      <c r="M19" s="14">
        <f t="shared" si="11"/>
        <v>2776000</v>
      </c>
      <c r="N19" s="248"/>
      <c r="O19" s="4" t="s">
        <v>42</v>
      </c>
      <c r="P19" s="33">
        <v>5</v>
      </c>
      <c r="Q19" s="14">
        <f t="shared" si="12"/>
        <v>1024000</v>
      </c>
      <c r="R19" s="14">
        <f t="shared" si="12"/>
        <v>1094000</v>
      </c>
      <c r="S19" s="14">
        <f t="shared" si="12"/>
        <v>1756000</v>
      </c>
      <c r="T19" s="14">
        <f t="shared" si="12"/>
        <v>3394000</v>
      </c>
    </row>
    <row r="20" spans="1:20" x14ac:dyDescent="0.25">
      <c r="A20" s="4" t="s">
        <v>42</v>
      </c>
      <c r="B20" s="33">
        <v>6</v>
      </c>
      <c r="C20" s="14">
        <f t="shared" si="10"/>
        <v>863000</v>
      </c>
      <c r="D20" s="14">
        <f t="shared" si="10"/>
        <v>964000</v>
      </c>
      <c r="E20" s="14">
        <f t="shared" si="10"/>
        <v>1426000</v>
      </c>
      <c r="F20" s="14">
        <f t="shared" si="10"/>
        <v>3285000</v>
      </c>
      <c r="G20" s="248"/>
      <c r="H20" s="4" t="s">
        <v>42</v>
      </c>
      <c r="I20" s="33">
        <v>6</v>
      </c>
      <c r="J20" s="14">
        <f t="shared" si="11"/>
        <v>660000</v>
      </c>
      <c r="K20" s="14">
        <f t="shared" si="11"/>
        <v>780000</v>
      </c>
      <c r="L20" s="14">
        <f t="shared" si="11"/>
        <v>1010000</v>
      </c>
      <c r="M20" s="14">
        <f t="shared" si="11"/>
        <v>2965000</v>
      </c>
      <c r="N20" s="248"/>
      <c r="O20" s="4" t="s">
        <v>42</v>
      </c>
      <c r="P20" s="33">
        <v>6</v>
      </c>
      <c r="Q20" s="14">
        <f t="shared" si="12"/>
        <v>1066000</v>
      </c>
      <c r="R20" s="14">
        <f t="shared" si="12"/>
        <v>1149000</v>
      </c>
      <c r="S20" s="14">
        <f t="shared" si="12"/>
        <v>1842000</v>
      </c>
      <c r="T20" s="14">
        <f t="shared" si="12"/>
        <v>3605000</v>
      </c>
    </row>
    <row r="21" spans="1:20" x14ac:dyDescent="0.25">
      <c r="A21" s="4" t="s">
        <v>42</v>
      </c>
      <c r="B21" s="33">
        <v>7</v>
      </c>
      <c r="C21" s="14">
        <f t="shared" si="10"/>
        <v>897000</v>
      </c>
      <c r="D21" s="14">
        <f t="shared" si="10"/>
        <v>1011000</v>
      </c>
      <c r="E21" s="14">
        <f t="shared" si="10"/>
        <v>1493000</v>
      </c>
      <c r="F21" s="14">
        <f t="shared" si="10"/>
        <v>3501000</v>
      </c>
      <c r="G21" s="248"/>
      <c r="H21" s="4" t="s">
        <v>42</v>
      </c>
      <c r="I21" s="33">
        <v>7</v>
      </c>
      <c r="J21" s="14">
        <f t="shared" si="11"/>
        <v>685000</v>
      </c>
      <c r="K21" s="14">
        <f t="shared" si="11"/>
        <v>815000</v>
      </c>
      <c r="L21" s="14">
        <f t="shared" si="11"/>
        <v>1054000</v>
      </c>
      <c r="M21" s="14">
        <f t="shared" si="11"/>
        <v>3170000</v>
      </c>
      <c r="N21" s="248"/>
      <c r="O21" s="4" t="s">
        <v>42</v>
      </c>
      <c r="P21" s="33">
        <v>7</v>
      </c>
      <c r="Q21" s="14">
        <f t="shared" si="12"/>
        <v>1110000</v>
      </c>
      <c r="R21" s="14">
        <f t="shared" si="12"/>
        <v>1207000</v>
      </c>
      <c r="S21" s="14">
        <f t="shared" si="12"/>
        <v>1933000</v>
      </c>
      <c r="T21" s="14">
        <f t="shared" si="12"/>
        <v>3833000</v>
      </c>
    </row>
    <row r="22" spans="1:20" x14ac:dyDescent="0.25">
      <c r="A22" s="4" t="s">
        <v>42</v>
      </c>
      <c r="B22" s="33">
        <v>8</v>
      </c>
      <c r="C22" s="14">
        <f t="shared" si="10"/>
        <v>934000</v>
      </c>
      <c r="D22" s="14">
        <f t="shared" si="10"/>
        <v>1061000</v>
      </c>
      <c r="E22" s="14">
        <f t="shared" si="10"/>
        <v>1566000</v>
      </c>
      <c r="F22" s="14">
        <f t="shared" si="10"/>
        <v>3736000</v>
      </c>
      <c r="G22" s="248"/>
      <c r="H22" s="4" t="s">
        <v>42</v>
      </c>
      <c r="I22" s="33">
        <v>8</v>
      </c>
      <c r="J22" s="14">
        <f t="shared" si="11"/>
        <v>711000</v>
      </c>
      <c r="K22" s="14">
        <f t="shared" si="11"/>
        <v>852000</v>
      </c>
      <c r="L22" s="14">
        <f t="shared" si="11"/>
        <v>1100000</v>
      </c>
      <c r="M22" s="14">
        <f t="shared" si="11"/>
        <v>3393000</v>
      </c>
      <c r="N22" s="248"/>
      <c r="O22" s="4" t="s">
        <v>42</v>
      </c>
      <c r="P22" s="33">
        <v>8</v>
      </c>
      <c r="Q22" s="14">
        <f t="shared" si="12"/>
        <v>1157000</v>
      </c>
      <c r="R22" s="14">
        <f t="shared" si="12"/>
        <v>1270000</v>
      </c>
      <c r="S22" s="14">
        <f t="shared" si="12"/>
        <v>2031000</v>
      </c>
      <c r="T22" s="14">
        <f t="shared" si="12"/>
        <v>4079000</v>
      </c>
    </row>
    <row r="23" spans="1:20" x14ac:dyDescent="0.25">
      <c r="A23" s="4" t="s">
        <v>42</v>
      </c>
      <c r="B23" s="33">
        <v>9</v>
      </c>
      <c r="C23" s="14">
        <f t="shared" si="10"/>
        <v>973000</v>
      </c>
      <c r="D23" s="14">
        <f t="shared" si="10"/>
        <v>1115000</v>
      </c>
      <c r="E23" s="14">
        <f t="shared" si="10"/>
        <v>1643000</v>
      </c>
      <c r="F23" s="14">
        <f t="shared" si="10"/>
        <v>3991000</v>
      </c>
      <c r="G23" s="248"/>
      <c r="H23" s="4" t="s">
        <v>42</v>
      </c>
      <c r="I23" s="33">
        <v>9</v>
      </c>
      <c r="J23" s="14">
        <f t="shared" si="11"/>
        <v>739000</v>
      </c>
      <c r="K23" s="14">
        <f t="shared" si="11"/>
        <v>892000</v>
      </c>
      <c r="L23" s="14">
        <f t="shared" si="11"/>
        <v>1149000</v>
      </c>
      <c r="M23" s="14">
        <f t="shared" si="11"/>
        <v>3636000</v>
      </c>
      <c r="N23" s="248"/>
      <c r="O23" s="4" t="s">
        <v>42</v>
      </c>
      <c r="P23" s="33">
        <v>9</v>
      </c>
      <c r="Q23" s="14">
        <f t="shared" si="12"/>
        <v>1207000</v>
      </c>
      <c r="R23" s="14">
        <f t="shared" si="12"/>
        <v>1337000</v>
      </c>
      <c r="S23" s="14">
        <f t="shared" si="12"/>
        <v>2136000</v>
      </c>
      <c r="T23" s="14">
        <f t="shared" si="12"/>
        <v>4347000</v>
      </c>
    </row>
    <row r="24" spans="1:20" x14ac:dyDescent="0.25">
      <c r="A24" s="4" t="s">
        <v>42</v>
      </c>
      <c r="B24" s="33">
        <v>10</v>
      </c>
      <c r="C24" s="14">
        <f t="shared" si="10"/>
        <v>1015000</v>
      </c>
      <c r="D24" s="14">
        <f t="shared" si="10"/>
        <v>1173000</v>
      </c>
      <c r="E24" s="14">
        <f t="shared" si="10"/>
        <v>1726000</v>
      </c>
      <c r="F24" s="14">
        <f t="shared" si="10"/>
        <v>4269000</v>
      </c>
      <c r="G24" s="248"/>
      <c r="H24" s="4" t="s">
        <v>42</v>
      </c>
      <c r="I24" s="33">
        <v>10</v>
      </c>
      <c r="J24" s="14">
        <f t="shared" si="11"/>
        <v>769000</v>
      </c>
      <c r="K24" s="14">
        <f t="shared" si="11"/>
        <v>935000</v>
      </c>
      <c r="L24" s="14">
        <f t="shared" si="11"/>
        <v>1202000</v>
      </c>
      <c r="M24" s="14">
        <f t="shared" si="11"/>
        <v>3900000</v>
      </c>
      <c r="N24" s="248"/>
      <c r="O24" s="4" t="s">
        <v>42</v>
      </c>
      <c r="P24" s="33">
        <v>10</v>
      </c>
      <c r="Q24" s="14">
        <f t="shared" si="12"/>
        <v>1260000</v>
      </c>
      <c r="R24" s="14">
        <f t="shared" si="12"/>
        <v>1410000</v>
      </c>
      <c r="S24" s="14">
        <f t="shared" si="12"/>
        <v>2249000</v>
      </c>
      <c r="T24" s="14">
        <f t="shared" si="12"/>
        <v>4637000</v>
      </c>
    </row>
    <row r="25" spans="1:20" x14ac:dyDescent="0.25">
      <c r="A25" s="4" t="s">
        <v>42</v>
      </c>
      <c r="B25" s="33">
        <v>11</v>
      </c>
      <c r="C25" s="14">
        <f t="shared" si="10"/>
        <v>1059000</v>
      </c>
      <c r="D25" s="14">
        <f t="shared" si="10"/>
        <v>1235000</v>
      </c>
      <c r="E25" s="14">
        <f t="shared" si="10"/>
        <v>1815000</v>
      </c>
      <c r="F25" s="14">
        <f t="shared" si="10"/>
        <v>4570000</v>
      </c>
      <c r="G25" s="248"/>
      <c r="H25" s="4" t="s">
        <v>42</v>
      </c>
      <c r="I25" s="33">
        <v>11</v>
      </c>
      <c r="J25" s="14">
        <f t="shared" si="11"/>
        <v>800000</v>
      </c>
      <c r="K25" s="14">
        <f t="shared" si="11"/>
        <v>982000</v>
      </c>
      <c r="L25" s="14">
        <f t="shared" si="11"/>
        <v>1259000</v>
      </c>
      <c r="M25" s="14">
        <f t="shared" si="11"/>
        <v>4188000</v>
      </c>
      <c r="N25" s="248"/>
      <c r="O25" s="4" t="s">
        <v>42</v>
      </c>
      <c r="P25" s="33">
        <v>11</v>
      </c>
      <c r="Q25" s="14">
        <f t="shared" si="12"/>
        <v>1318000</v>
      </c>
      <c r="R25" s="14">
        <f t="shared" si="12"/>
        <v>1488000</v>
      </c>
      <c r="S25" s="14">
        <f t="shared" si="12"/>
        <v>2371000</v>
      </c>
      <c r="T25" s="14">
        <f t="shared" si="12"/>
        <v>4952000</v>
      </c>
    </row>
    <row r="26" spans="1:20" x14ac:dyDescent="0.25">
      <c r="A26" s="4" t="s">
        <v>42</v>
      </c>
      <c r="B26" s="33">
        <v>12</v>
      </c>
      <c r="C26" s="14">
        <f t="shared" si="10"/>
        <v>1106000</v>
      </c>
      <c r="D26" s="14">
        <f t="shared" si="10"/>
        <v>1302000</v>
      </c>
      <c r="E26" s="14">
        <f t="shared" si="10"/>
        <v>1911000</v>
      </c>
      <c r="F26" s="14">
        <f t="shared" si="10"/>
        <v>4898000</v>
      </c>
      <c r="G26" s="248"/>
      <c r="H26" s="4" t="s">
        <v>42</v>
      </c>
      <c r="I26" s="33">
        <v>12</v>
      </c>
      <c r="J26" s="14">
        <f t="shared" si="11"/>
        <v>834000</v>
      </c>
      <c r="K26" s="14">
        <f t="shared" si="11"/>
        <v>1032000</v>
      </c>
      <c r="L26" s="14">
        <f t="shared" si="11"/>
        <v>1320000</v>
      </c>
      <c r="M26" s="14">
        <f t="shared" si="11"/>
        <v>4502000</v>
      </c>
      <c r="N26" s="248"/>
      <c r="O26" s="4" t="s">
        <v>42</v>
      </c>
      <c r="P26" s="33">
        <v>12</v>
      </c>
      <c r="Q26" s="14">
        <f t="shared" si="12"/>
        <v>1379000</v>
      </c>
      <c r="R26" s="14">
        <f t="shared" si="12"/>
        <v>1573000</v>
      </c>
      <c r="S26" s="14">
        <f t="shared" si="12"/>
        <v>2502000</v>
      </c>
      <c r="T26" s="14">
        <f t="shared" si="12"/>
        <v>5295000</v>
      </c>
    </row>
    <row r="27" spans="1:20" x14ac:dyDescent="0.25">
      <c r="A27" s="4" t="s">
        <v>42</v>
      </c>
      <c r="B27" s="33">
        <v>13</v>
      </c>
      <c r="C27" s="14">
        <f t="shared" si="10"/>
        <v>1157000</v>
      </c>
      <c r="D27" s="14">
        <f t="shared" si="10"/>
        <v>1375000</v>
      </c>
      <c r="E27" s="14">
        <f t="shared" si="10"/>
        <v>2014000</v>
      </c>
      <c r="F27" s="14">
        <f t="shared" si="10"/>
        <v>5256000</v>
      </c>
      <c r="G27" s="248"/>
      <c r="H27" s="4" t="s">
        <v>42</v>
      </c>
      <c r="I27" s="33">
        <v>13</v>
      </c>
      <c r="J27" s="14">
        <f t="shared" si="11"/>
        <v>871000</v>
      </c>
      <c r="K27" s="14">
        <f t="shared" si="11"/>
        <v>1085000</v>
      </c>
      <c r="L27" s="14">
        <f t="shared" si="11"/>
        <v>1385000</v>
      </c>
      <c r="M27" s="14">
        <f t="shared" si="11"/>
        <v>4845000</v>
      </c>
      <c r="N27" s="248"/>
      <c r="O27" s="4" t="s">
        <v>42</v>
      </c>
      <c r="P27" s="33">
        <v>13</v>
      </c>
      <c r="Q27" s="14">
        <f t="shared" si="12"/>
        <v>1444000</v>
      </c>
      <c r="R27" s="14">
        <f t="shared" si="12"/>
        <v>1664000</v>
      </c>
      <c r="S27" s="14">
        <f t="shared" si="12"/>
        <v>2643000</v>
      </c>
      <c r="T27" s="14">
        <f t="shared" si="12"/>
        <v>5667000</v>
      </c>
    </row>
    <row r="28" spans="1:20" x14ac:dyDescent="0.25">
      <c r="A28" s="4" t="s">
        <v>42</v>
      </c>
      <c r="B28" s="33">
        <v>14</v>
      </c>
      <c r="C28" s="14">
        <f t="shared" si="10"/>
        <v>1212000</v>
      </c>
      <c r="D28" s="14">
        <f t="shared" si="10"/>
        <v>1453000</v>
      </c>
      <c r="E28" s="14">
        <f t="shared" si="10"/>
        <v>2125000</v>
      </c>
      <c r="F28" s="14">
        <f t="shared" si="10"/>
        <v>5645000</v>
      </c>
      <c r="G28" s="248"/>
      <c r="H28" s="4" t="s">
        <v>42</v>
      </c>
      <c r="I28" s="33">
        <v>14</v>
      </c>
      <c r="J28" s="14">
        <f t="shared" si="11"/>
        <v>909000</v>
      </c>
      <c r="K28" s="14">
        <f t="shared" si="11"/>
        <v>1143000</v>
      </c>
      <c r="L28" s="14">
        <f t="shared" si="11"/>
        <v>1455000</v>
      </c>
      <c r="M28" s="14">
        <f t="shared" si="11"/>
        <v>5219000</v>
      </c>
      <c r="N28" s="248"/>
      <c r="O28" s="4" t="s">
        <v>42</v>
      </c>
      <c r="P28" s="33">
        <v>14</v>
      </c>
      <c r="Q28" s="14">
        <f t="shared" si="12"/>
        <v>1514000</v>
      </c>
      <c r="R28" s="14">
        <f t="shared" si="12"/>
        <v>1764000</v>
      </c>
      <c r="S28" s="14">
        <f t="shared" si="12"/>
        <v>2795000</v>
      </c>
      <c r="T28" s="14">
        <f t="shared" si="12"/>
        <v>6072000</v>
      </c>
    </row>
    <row r="29" spans="1:20" x14ac:dyDescent="0.25">
      <c r="A29" s="4" t="s">
        <v>42</v>
      </c>
      <c r="B29" s="33">
        <v>15</v>
      </c>
      <c r="C29" s="14">
        <f t="shared" si="10"/>
        <v>1270000</v>
      </c>
      <c r="D29" s="14">
        <f t="shared" si="10"/>
        <v>1538000</v>
      </c>
      <c r="E29" s="14">
        <f t="shared" si="10"/>
        <v>2245000</v>
      </c>
      <c r="F29" s="14">
        <f t="shared" si="10"/>
        <v>6070000</v>
      </c>
      <c r="G29" s="248"/>
      <c r="H29" s="4" t="s">
        <v>42</v>
      </c>
      <c r="I29" s="33">
        <v>15</v>
      </c>
      <c r="J29" s="14">
        <f t="shared" si="11"/>
        <v>951000</v>
      </c>
      <c r="K29" s="14">
        <f t="shared" si="11"/>
        <v>1206000</v>
      </c>
      <c r="L29" s="14">
        <f t="shared" si="11"/>
        <v>1531000</v>
      </c>
      <c r="M29" s="14">
        <f t="shared" si="11"/>
        <v>5627000</v>
      </c>
      <c r="N29" s="248"/>
      <c r="O29" s="4" t="s">
        <v>42</v>
      </c>
      <c r="P29" s="33">
        <v>15</v>
      </c>
      <c r="Q29" s="14">
        <f t="shared" si="12"/>
        <v>1590000</v>
      </c>
      <c r="R29" s="14">
        <f t="shared" si="12"/>
        <v>1871000</v>
      </c>
      <c r="S29" s="14">
        <f t="shared" si="12"/>
        <v>2959000</v>
      </c>
      <c r="T29" s="14">
        <f t="shared" si="12"/>
        <v>6513000</v>
      </c>
    </row>
    <row r="30" spans="1:20" x14ac:dyDescent="0.25">
      <c r="A30" s="4" t="s">
        <v>42</v>
      </c>
      <c r="B30" s="33">
        <v>16</v>
      </c>
      <c r="C30" s="14">
        <f t="shared" ref="C30:F30" si="13">ROUND(C72+C115+C158,-3)</f>
        <v>1333000</v>
      </c>
      <c r="D30" s="14">
        <f t="shared" si="13"/>
        <v>1630000</v>
      </c>
      <c r="E30" s="14">
        <f t="shared" si="13"/>
        <v>2375000</v>
      </c>
      <c r="F30" s="14">
        <f t="shared" si="13"/>
        <v>6533000</v>
      </c>
      <c r="G30" s="104"/>
      <c r="H30" s="4" t="s">
        <v>42</v>
      </c>
      <c r="I30" s="33">
        <v>16</v>
      </c>
      <c r="J30" s="14">
        <f t="shared" ref="J30:M30" si="14">ROUND(J72+J115+J158,-3)</f>
        <v>996000</v>
      </c>
      <c r="K30" s="14">
        <f t="shared" si="14"/>
        <v>1273000</v>
      </c>
      <c r="L30" s="14">
        <f t="shared" si="14"/>
        <v>1612000</v>
      </c>
      <c r="M30" s="14">
        <f t="shared" si="14"/>
        <v>6074000</v>
      </c>
      <c r="N30" s="248"/>
      <c r="O30" s="4" t="s">
        <v>42</v>
      </c>
      <c r="P30" s="33">
        <v>16</v>
      </c>
      <c r="Q30" s="14">
        <f t="shared" ref="Q30:T30" si="15">ROUND(Q72+Q115+Q158,-3)</f>
        <v>1671000</v>
      </c>
      <c r="R30" s="14">
        <f t="shared" si="15"/>
        <v>1987000</v>
      </c>
      <c r="S30" s="14">
        <f t="shared" si="15"/>
        <v>3137000</v>
      </c>
      <c r="T30" s="14">
        <f t="shared" si="15"/>
        <v>6993000</v>
      </c>
    </row>
    <row r="31" spans="1:20" x14ac:dyDescent="0.25">
      <c r="A31" s="4" t="s">
        <v>42</v>
      </c>
      <c r="B31" s="33">
        <v>17</v>
      </c>
      <c r="C31" s="14">
        <f t="shared" ref="C31:F31" si="16">ROUND(C73+C116+C159,-3)</f>
        <v>1401000</v>
      </c>
      <c r="D31" s="14">
        <f t="shared" si="16"/>
        <v>1730000</v>
      </c>
      <c r="E31" s="14">
        <f t="shared" si="16"/>
        <v>2515000</v>
      </c>
      <c r="F31" s="14">
        <f t="shared" si="16"/>
        <v>7039000</v>
      </c>
      <c r="G31" s="104"/>
      <c r="H31" s="4" t="s">
        <v>42</v>
      </c>
      <c r="I31" s="33">
        <v>17</v>
      </c>
      <c r="J31" s="14">
        <f t="shared" ref="J31:M31" si="17">ROUND(J73+J116+J159,-3)</f>
        <v>1044000</v>
      </c>
      <c r="K31" s="14">
        <f t="shared" si="17"/>
        <v>1346000</v>
      </c>
      <c r="L31" s="14">
        <f t="shared" si="17"/>
        <v>1700000</v>
      </c>
      <c r="M31" s="14">
        <f t="shared" si="17"/>
        <v>6561000</v>
      </c>
      <c r="N31" s="248"/>
      <c r="O31" s="4" t="s">
        <v>42</v>
      </c>
      <c r="P31" s="33">
        <v>17</v>
      </c>
      <c r="Q31" s="14">
        <f t="shared" ref="Q31:T31" si="18">ROUND(Q73+Q116+Q159,-3)</f>
        <v>1758000</v>
      </c>
      <c r="R31" s="14">
        <f t="shared" si="18"/>
        <v>2113000</v>
      </c>
      <c r="S31" s="14">
        <f t="shared" si="18"/>
        <v>3329000</v>
      </c>
      <c r="T31" s="14">
        <f t="shared" si="18"/>
        <v>7516000</v>
      </c>
    </row>
    <row r="32" spans="1:20" x14ac:dyDescent="0.25">
      <c r="A32" s="4" t="s">
        <v>42</v>
      </c>
      <c r="B32" s="33">
        <v>18</v>
      </c>
      <c r="C32" s="14">
        <f t="shared" ref="C32:F32" si="19">ROUND(C74+C117+C160,-3)</f>
        <v>1474000</v>
      </c>
      <c r="D32" s="14">
        <f t="shared" si="19"/>
        <v>1838000</v>
      </c>
      <c r="E32" s="14">
        <f t="shared" si="19"/>
        <v>2666000</v>
      </c>
      <c r="F32" s="14">
        <f t="shared" si="19"/>
        <v>7591000</v>
      </c>
      <c r="G32" s="104"/>
      <c r="H32" s="4" t="s">
        <v>42</v>
      </c>
      <c r="I32" s="33">
        <v>18</v>
      </c>
      <c r="J32" s="14">
        <f t="shared" ref="J32:M32" si="20">ROUND(J74+J117+J160,-3)</f>
        <v>1096000</v>
      </c>
      <c r="K32" s="14">
        <f t="shared" si="20"/>
        <v>1425000</v>
      </c>
      <c r="L32" s="14">
        <f t="shared" si="20"/>
        <v>1795000</v>
      </c>
      <c r="M32" s="14">
        <f t="shared" si="20"/>
        <v>7095000</v>
      </c>
      <c r="N32" s="248"/>
      <c r="O32" s="4" t="s">
        <v>42</v>
      </c>
      <c r="P32" s="33">
        <v>18</v>
      </c>
      <c r="Q32" s="14">
        <f t="shared" ref="Q32:T32" si="21">ROUND(Q74+Q117+Q160,-3)</f>
        <v>1851000</v>
      </c>
      <c r="R32" s="14">
        <f t="shared" si="21"/>
        <v>2250000</v>
      </c>
      <c r="S32" s="14">
        <f t="shared" si="21"/>
        <v>3537000</v>
      </c>
      <c r="T32" s="14">
        <f t="shared" si="21"/>
        <v>8087000</v>
      </c>
    </row>
    <row r="33" spans="1:20" x14ac:dyDescent="0.25">
      <c r="A33" s="4" t="s">
        <v>42</v>
      </c>
      <c r="B33" s="33">
        <v>19</v>
      </c>
      <c r="C33" s="14">
        <f t="shared" ref="C33:F33" si="22">ROUND(C75+C118+C161,-3)</f>
        <v>1553000</v>
      </c>
      <c r="D33" s="14">
        <f t="shared" si="22"/>
        <v>1955000</v>
      </c>
      <c r="E33" s="14">
        <f t="shared" si="22"/>
        <v>2830000</v>
      </c>
      <c r="F33" s="14">
        <f t="shared" si="22"/>
        <v>8194000</v>
      </c>
      <c r="G33" s="104"/>
      <c r="H33" s="4" t="s">
        <v>42</v>
      </c>
      <c r="I33" s="33">
        <v>19</v>
      </c>
      <c r="J33" s="14">
        <f t="shared" ref="J33:M33" si="23">ROUND(J75+J118+J161,-3)</f>
        <v>1152000</v>
      </c>
      <c r="K33" s="14">
        <f t="shared" si="23"/>
        <v>1511000</v>
      </c>
      <c r="L33" s="14">
        <f t="shared" si="23"/>
        <v>1897000</v>
      </c>
      <c r="M33" s="14">
        <f t="shared" si="23"/>
        <v>7678000</v>
      </c>
      <c r="N33" s="248"/>
      <c r="O33" s="4" t="s">
        <v>42</v>
      </c>
      <c r="P33" s="33">
        <v>19</v>
      </c>
      <c r="Q33" s="14">
        <f t="shared" ref="Q33:T33" si="24">ROUND(Q75+Q118+Q161,-3)</f>
        <v>1953000</v>
      </c>
      <c r="R33" s="14">
        <f t="shared" si="24"/>
        <v>2399000</v>
      </c>
      <c r="S33" s="14">
        <f t="shared" si="24"/>
        <v>3763000</v>
      </c>
      <c r="T33" s="14">
        <f t="shared" si="24"/>
        <v>8709000</v>
      </c>
    </row>
    <row r="34" spans="1:20" x14ac:dyDescent="0.25">
      <c r="A34" s="4" t="s">
        <v>42</v>
      </c>
      <c r="B34" s="33">
        <v>20</v>
      </c>
      <c r="C34" s="14">
        <f t="shared" ref="C34:F34" si="25">ROUND(C76+C119+C162,-3)</f>
        <v>1637000</v>
      </c>
      <c r="D34" s="14">
        <f t="shared" si="25"/>
        <v>2083000</v>
      </c>
      <c r="E34" s="14">
        <f t="shared" si="25"/>
        <v>3008000</v>
      </c>
      <c r="F34" s="14">
        <f t="shared" si="25"/>
        <v>8852000</v>
      </c>
      <c r="G34" s="104"/>
      <c r="H34" s="4" t="s">
        <v>42</v>
      </c>
      <c r="I34" s="33">
        <v>20</v>
      </c>
      <c r="J34" s="14">
        <f t="shared" ref="J34:M34" si="26">ROUND(J76+J119+J162,-3)</f>
        <v>1213000</v>
      </c>
      <c r="K34" s="14">
        <f t="shared" si="26"/>
        <v>1604000</v>
      </c>
      <c r="L34" s="14">
        <f t="shared" si="26"/>
        <v>2008000</v>
      </c>
      <c r="M34" s="14">
        <f t="shared" si="26"/>
        <v>8316000</v>
      </c>
      <c r="N34" s="248"/>
      <c r="O34" s="4" t="s">
        <v>42</v>
      </c>
      <c r="P34" s="33">
        <v>20</v>
      </c>
      <c r="Q34" s="14">
        <f t="shared" ref="Q34:T34" si="27">ROUND(Q76+Q119+Q162,-3)</f>
        <v>2062000</v>
      </c>
      <c r="R34" s="14">
        <f t="shared" si="27"/>
        <v>2561000</v>
      </c>
      <c r="S34" s="14">
        <f t="shared" si="27"/>
        <v>4008000</v>
      </c>
      <c r="T34" s="14">
        <f t="shared" si="27"/>
        <v>9389000</v>
      </c>
    </row>
    <row r="35" spans="1:20" x14ac:dyDescent="0.25">
      <c r="A35" s="4" t="s">
        <v>42</v>
      </c>
      <c r="B35" s="33">
        <v>21</v>
      </c>
      <c r="C35" s="14">
        <f t="shared" ref="C35:F35" si="28">ROUND(C77+C120+C163,-3)</f>
        <v>1729000</v>
      </c>
      <c r="D35" s="14">
        <f t="shared" si="28"/>
        <v>2221000</v>
      </c>
      <c r="E35" s="14">
        <f t="shared" si="28"/>
        <v>3200000</v>
      </c>
      <c r="F35" s="14">
        <f t="shared" si="28"/>
        <v>9573000</v>
      </c>
      <c r="G35" s="104"/>
      <c r="H35" s="4" t="s">
        <v>42</v>
      </c>
      <c r="I35" s="33">
        <v>21</v>
      </c>
      <c r="J35" s="14">
        <f t="shared" ref="J35:M35" si="29">ROUND(J77+J120+J163,-3)</f>
        <v>1278000</v>
      </c>
      <c r="K35" s="14">
        <f t="shared" si="29"/>
        <v>1706000</v>
      </c>
      <c r="L35" s="14">
        <f t="shared" si="29"/>
        <v>2128000</v>
      </c>
      <c r="M35" s="14">
        <f t="shared" si="29"/>
        <v>9014000</v>
      </c>
      <c r="N35" s="248"/>
      <c r="O35" s="4" t="s">
        <v>42</v>
      </c>
      <c r="P35" s="33">
        <v>21</v>
      </c>
      <c r="Q35" s="14">
        <f t="shared" ref="Q35:T35" si="30">ROUND(Q77+Q120+Q163,-3)</f>
        <v>2180000</v>
      </c>
      <c r="R35" s="14">
        <f t="shared" si="30"/>
        <v>2737000</v>
      </c>
      <c r="S35" s="14">
        <f t="shared" si="30"/>
        <v>4273000</v>
      </c>
      <c r="T35" s="14">
        <f t="shared" si="30"/>
        <v>10131000</v>
      </c>
    </row>
    <row r="36" spans="1:20" x14ac:dyDescent="0.25">
      <c r="A36" s="4" t="s">
        <v>42</v>
      </c>
      <c r="B36" s="33">
        <v>22</v>
      </c>
      <c r="C36" s="14">
        <f t="shared" ref="C36:F36" si="31">ROUND(C78+C121+C164,-3)</f>
        <v>1828000</v>
      </c>
      <c r="D36" s="14">
        <f t="shared" si="31"/>
        <v>2372000</v>
      </c>
      <c r="E36" s="14">
        <f t="shared" si="31"/>
        <v>3410000</v>
      </c>
      <c r="F36" s="14">
        <f t="shared" si="31"/>
        <v>10361000</v>
      </c>
      <c r="G36" s="104"/>
      <c r="H36" s="4" t="s">
        <v>42</v>
      </c>
      <c r="I36" s="33">
        <v>22</v>
      </c>
      <c r="J36" s="14">
        <f t="shared" ref="J36:M36" si="32">ROUND(J78+J121+J164,-3)</f>
        <v>1349000</v>
      </c>
      <c r="K36" s="14">
        <f t="shared" si="32"/>
        <v>1815000</v>
      </c>
      <c r="L36" s="14">
        <f t="shared" si="32"/>
        <v>2257000</v>
      </c>
      <c r="M36" s="14">
        <f t="shared" si="32"/>
        <v>9779000</v>
      </c>
      <c r="N36" s="248"/>
      <c r="O36" s="4" t="s">
        <v>42</v>
      </c>
      <c r="P36" s="33">
        <v>22</v>
      </c>
      <c r="Q36" s="14">
        <f t="shared" ref="Q36:T36" si="33">ROUND(Q78+Q121+Q164,-3)</f>
        <v>2307000</v>
      </c>
      <c r="R36" s="14">
        <f t="shared" si="33"/>
        <v>2929000</v>
      </c>
      <c r="S36" s="14">
        <f t="shared" si="33"/>
        <v>4562000</v>
      </c>
      <c r="T36" s="14">
        <f t="shared" si="33"/>
        <v>10942000</v>
      </c>
    </row>
    <row r="37" spans="1:20" x14ac:dyDescent="0.25">
      <c r="A37" s="4" t="s">
        <v>42</v>
      </c>
      <c r="B37" s="33">
        <v>23</v>
      </c>
      <c r="C37" s="14">
        <f t="shared" ref="C37:F37" si="34">ROUND(C79+C122+C165,-3)</f>
        <v>1936000</v>
      </c>
      <c r="D37" s="14">
        <f t="shared" si="34"/>
        <v>2536000</v>
      </c>
      <c r="E37" s="14">
        <f t="shared" si="34"/>
        <v>3637000</v>
      </c>
      <c r="F37" s="14">
        <f t="shared" si="34"/>
        <v>11222000</v>
      </c>
      <c r="G37" s="104"/>
      <c r="H37" s="4" t="s">
        <v>42</v>
      </c>
      <c r="I37" s="33">
        <v>23</v>
      </c>
      <c r="J37" s="14">
        <f t="shared" ref="J37:M37" si="35">ROUND(J79+J122+J165,-3)</f>
        <v>1426000</v>
      </c>
      <c r="K37" s="14">
        <f t="shared" si="35"/>
        <v>1935000</v>
      </c>
      <c r="L37" s="14">
        <f t="shared" si="35"/>
        <v>2398000</v>
      </c>
      <c r="M37" s="14">
        <f t="shared" si="35"/>
        <v>10616000</v>
      </c>
      <c r="N37" s="248"/>
      <c r="O37" s="4" t="s">
        <v>42</v>
      </c>
      <c r="P37" s="33">
        <v>23</v>
      </c>
      <c r="Q37" s="14">
        <f t="shared" ref="Q37:T37" si="36">ROUND(Q79+Q122+Q165,-3)</f>
        <v>2446000</v>
      </c>
      <c r="R37" s="14">
        <f t="shared" si="36"/>
        <v>3138000</v>
      </c>
      <c r="S37" s="14">
        <f t="shared" si="36"/>
        <v>4876000</v>
      </c>
      <c r="T37" s="14">
        <f t="shared" si="36"/>
        <v>11829000</v>
      </c>
    </row>
    <row r="38" spans="1:20" x14ac:dyDescent="0.25">
      <c r="A38" s="4" t="s">
        <v>42</v>
      </c>
      <c r="B38" s="33">
        <v>24</v>
      </c>
      <c r="C38" s="14">
        <f t="shared" ref="C38:F38" si="37">ROUND(C80+C123+C166,-3)</f>
        <v>2052000</v>
      </c>
      <c r="D38" s="14">
        <f t="shared" si="37"/>
        <v>2715000</v>
      </c>
      <c r="E38" s="14">
        <f t="shared" si="37"/>
        <v>3884000</v>
      </c>
      <c r="F38" s="14">
        <f t="shared" si="37"/>
        <v>12166000</v>
      </c>
      <c r="G38" s="104"/>
      <c r="H38" s="4" t="s">
        <v>42</v>
      </c>
      <c r="I38" s="33">
        <v>24</v>
      </c>
      <c r="J38" s="14">
        <f t="shared" ref="J38:M38" si="38">ROUND(J80+J123+J166,-3)</f>
        <v>1509000</v>
      </c>
      <c r="K38" s="14">
        <f t="shared" si="38"/>
        <v>2065000</v>
      </c>
      <c r="L38" s="14">
        <f t="shared" si="38"/>
        <v>2551000</v>
      </c>
      <c r="M38" s="14">
        <f t="shared" si="38"/>
        <v>11534000</v>
      </c>
      <c r="N38" s="248"/>
      <c r="O38" s="4" t="s">
        <v>42</v>
      </c>
      <c r="P38" s="33">
        <v>24</v>
      </c>
      <c r="Q38" s="14">
        <f t="shared" ref="Q38:T38" si="39">ROUND(Q80+Q123+Q166,-3)</f>
        <v>2595000</v>
      </c>
      <c r="R38" s="14">
        <f t="shared" si="39"/>
        <v>3366000</v>
      </c>
      <c r="S38" s="14">
        <f t="shared" si="39"/>
        <v>5217000</v>
      </c>
      <c r="T38" s="14">
        <f t="shared" si="39"/>
        <v>12798000</v>
      </c>
    </row>
    <row r="39" spans="1:20" x14ac:dyDescent="0.25">
      <c r="A39" s="4" t="s">
        <v>42</v>
      </c>
      <c r="B39" s="33">
        <v>25</v>
      </c>
      <c r="C39" s="14">
        <f t="shared" ref="C39:F39" si="40">ROUND(C81+C124+C167,-3)</f>
        <v>2178000</v>
      </c>
      <c r="D39" s="14">
        <f t="shared" si="40"/>
        <v>2910000</v>
      </c>
      <c r="E39" s="14">
        <f t="shared" si="40"/>
        <v>4153000</v>
      </c>
      <c r="F39" s="14">
        <f t="shared" si="40"/>
        <v>13198000</v>
      </c>
      <c r="G39" s="104"/>
      <c r="H39" s="4" t="s">
        <v>42</v>
      </c>
      <c r="I39" s="33">
        <v>25</v>
      </c>
      <c r="J39" s="14">
        <f t="shared" ref="J39:M39" si="41">ROUND(J81+J124+J167,-3)</f>
        <v>1599000</v>
      </c>
      <c r="K39" s="14">
        <f t="shared" si="41"/>
        <v>2206000</v>
      </c>
      <c r="L39" s="14">
        <f t="shared" si="41"/>
        <v>2717000</v>
      </c>
      <c r="M39" s="14">
        <f t="shared" si="41"/>
        <v>12539000</v>
      </c>
      <c r="N39" s="248"/>
      <c r="O39" s="4" t="s">
        <v>42</v>
      </c>
      <c r="P39" s="33">
        <v>25</v>
      </c>
      <c r="Q39" s="14">
        <f t="shared" ref="Q39:T39" si="42">ROUND(Q81+Q124+Q167,-3)</f>
        <v>2758000</v>
      </c>
      <c r="R39" s="14">
        <f t="shared" si="42"/>
        <v>3614000</v>
      </c>
      <c r="S39" s="14">
        <f t="shared" si="42"/>
        <v>5589000</v>
      </c>
      <c r="T39" s="14">
        <f t="shared" si="42"/>
        <v>13858000</v>
      </c>
    </row>
    <row r="40" spans="1:20" x14ac:dyDescent="0.25">
      <c r="A40" s="4" t="s">
        <v>42</v>
      </c>
      <c r="B40" s="33">
        <v>26</v>
      </c>
      <c r="C40" s="14">
        <f t="shared" ref="C40:F40" si="43">ROUND(C82+C125+C168,-3)</f>
        <v>2315000</v>
      </c>
      <c r="D40" s="14">
        <f t="shared" si="43"/>
        <v>3123000</v>
      </c>
      <c r="E40" s="14">
        <f t="shared" si="43"/>
        <v>4445000</v>
      </c>
      <c r="F40" s="14">
        <f t="shared" si="43"/>
        <v>14329000</v>
      </c>
      <c r="G40" s="104"/>
      <c r="H40" s="4" t="s">
        <v>42</v>
      </c>
      <c r="I40" s="33">
        <v>26</v>
      </c>
      <c r="J40" s="14">
        <f t="shared" ref="J40:M40" si="44">ROUND(J82+J125+J168,-3)</f>
        <v>1697000</v>
      </c>
      <c r="K40" s="14">
        <f t="shared" si="44"/>
        <v>2361000</v>
      </c>
      <c r="L40" s="14">
        <f t="shared" si="44"/>
        <v>2897000</v>
      </c>
      <c r="M40" s="14">
        <f t="shared" si="44"/>
        <v>13641000</v>
      </c>
      <c r="N40" s="248"/>
      <c r="O40" s="4" t="s">
        <v>42</v>
      </c>
      <c r="P40" s="33">
        <v>26</v>
      </c>
      <c r="Q40" s="14">
        <f t="shared" ref="Q40:T40" si="45">ROUND(Q82+Q125+Q168,-3)</f>
        <v>2934000</v>
      </c>
      <c r="R40" s="14">
        <f t="shared" si="45"/>
        <v>3885000</v>
      </c>
      <c r="S40" s="14">
        <f t="shared" si="45"/>
        <v>5993000</v>
      </c>
      <c r="T40" s="14">
        <f t="shared" si="45"/>
        <v>15018000</v>
      </c>
    </row>
    <row r="41" spans="1:20" x14ac:dyDescent="0.25">
      <c r="A41" s="4" t="s">
        <v>42</v>
      </c>
      <c r="B41" s="33">
        <v>27</v>
      </c>
      <c r="C41" s="14">
        <f t="shared" ref="C41:F41" si="46">ROUND(C83+C126+C169,-3)</f>
        <v>2464000</v>
      </c>
      <c r="D41" s="14">
        <f t="shared" si="46"/>
        <v>3355000</v>
      </c>
      <c r="E41" s="14">
        <f t="shared" si="46"/>
        <v>4764000</v>
      </c>
      <c r="F41" s="14">
        <f t="shared" si="46"/>
        <v>15568000</v>
      </c>
      <c r="G41" s="104"/>
      <c r="H41" s="4" t="s">
        <v>42</v>
      </c>
      <c r="I41" s="33">
        <v>27</v>
      </c>
      <c r="J41" s="14">
        <f t="shared" ref="J41:M41" si="47">ROUND(J83+J126+J169,-3)</f>
        <v>1803000</v>
      </c>
      <c r="K41" s="14">
        <f t="shared" si="47"/>
        <v>2529000</v>
      </c>
      <c r="L41" s="14">
        <f t="shared" si="47"/>
        <v>3093000</v>
      </c>
      <c r="M41" s="14">
        <f t="shared" si="47"/>
        <v>14849000</v>
      </c>
      <c r="N41" s="248"/>
      <c r="O41" s="4" t="s">
        <v>42</v>
      </c>
      <c r="P41" s="33">
        <v>27</v>
      </c>
      <c r="Q41" s="14">
        <f t="shared" ref="Q41:T41" si="48">ROUND(Q83+Q126+Q169,-3)</f>
        <v>3125000</v>
      </c>
      <c r="R41" s="14">
        <f t="shared" si="48"/>
        <v>4181000</v>
      </c>
      <c r="S41" s="14">
        <f t="shared" si="48"/>
        <v>6434000</v>
      </c>
      <c r="T41" s="14">
        <f t="shared" si="48"/>
        <v>16288000</v>
      </c>
    </row>
    <row r="42" spans="1:20" x14ac:dyDescent="0.25">
      <c r="A42" s="4" t="s">
        <v>42</v>
      </c>
      <c r="B42" s="33">
        <v>28</v>
      </c>
      <c r="C42" s="14">
        <f t="shared" ref="C42:F42" si="49">ROUND(C84+C127+C170,-3)</f>
        <v>2626000</v>
      </c>
      <c r="D42" s="14">
        <f t="shared" si="49"/>
        <v>3608000</v>
      </c>
      <c r="E42" s="14">
        <f t="shared" si="49"/>
        <v>5111000</v>
      </c>
      <c r="F42" s="14">
        <f t="shared" si="49"/>
        <v>16926000</v>
      </c>
      <c r="G42" s="104"/>
      <c r="H42" s="4" t="s">
        <v>42</v>
      </c>
      <c r="I42" s="33">
        <v>28</v>
      </c>
      <c r="J42" s="14">
        <f t="shared" ref="J42:M42" si="50">ROUND(J84+J127+J170,-3)</f>
        <v>1918000</v>
      </c>
      <c r="K42" s="14">
        <f t="shared" si="50"/>
        <v>2712000</v>
      </c>
      <c r="L42" s="14">
        <f t="shared" si="50"/>
        <v>3307000</v>
      </c>
      <c r="M42" s="14">
        <f t="shared" si="50"/>
        <v>16173000</v>
      </c>
      <c r="N42" s="248"/>
      <c r="O42" s="4" t="s">
        <v>42</v>
      </c>
      <c r="P42" s="33">
        <v>28</v>
      </c>
      <c r="Q42" s="14">
        <f t="shared" ref="Q42:T42" si="51">ROUND(Q84+Q127+Q170,-3)</f>
        <v>3333000</v>
      </c>
      <c r="R42" s="14">
        <f t="shared" si="51"/>
        <v>4504000</v>
      </c>
      <c r="S42" s="14">
        <f t="shared" si="51"/>
        <v>6915000</v>
      </c>
      <c r="T42" s="14">
        <f t="shared" si="51"/>
        <v>17678000</v>
      </c>
    </row>
    <row r="43" spans="1:20" x14ac:dyDescent="0.25">
      <c r="A43" s="4" t="s">
        <v>42</v>
      </c>
      <c r="B43" s="33">
        <v>29</v>
      </c>
      <c r="C43" s="14">
        <f t="shared" ref="C43:F43" si="52">ROUND(C85+C128+C171,-3)</f>
        <v>2801000</v>
      </c>
      <c r="D43" s="14">
        <f t="shared" si="52"/>
        <v>3885000</v>
      </c>
      <c r="E43" s="14">
        <f t="shared" si="52"/>
        <v>5490000</v>
      </c>
      <c r="F43" s="14">
        <f t="shared" si="52"/>
        <v>18414000</v>
      </c>
      <c r="G43" s="104"/>
      <c r="H43" s="4" t="s">
        <v>42</v>
      </c>
      <c r="I43" s="33">
        <v>29</v>
      </c>
      <c r="J43" s="14">
        <f t="shared" ref="J43:M43" si="53">ROUND(J85+J128+J171,-3)</f>
        <v>2044000</v>
      </c>
      <c r="K43" s="14">
        <f t="shared" si="53"/>
        <v>2912000</v>
      </c>
      <c r="L43" s="14">
        <f t="shared" si="53"/>
        <v>3539000</v>
      </c>
      <c r="M43" s="14">
        <f t="shared" si="53"/>
        <v>17626000</v>
      </c>
      <c r="N43" s="248"/>
      <c r="O43" s="4" t="s">
        <v>42</v>
      </c>
      <c r="P43" s="33">
        <v>29</v>
      </c>
      <c r="Q43" s="14">
        <f t="shared" ref="Q43:T43" si="54">ROUND(Q85+Q128+Q171,-3)</f>
        <v>3559000</v>
      </c>
      <c r="R43" s="14">
        <f t="shared" si="54"/>
        <v>4857000</v>
      </c>
      <c r="S43" s="14">
        <f t="shared" si="54"/>
        <v>7440000</v>
      </c>
      <c r="T43" s="14">
        <f t="shared" si="54"/>
        <v>19201000</v>
      </c>
    </row>
    <row r="44" spans="1:20" x14ac:dyDescent="0.25">
      <c r="A44" s="4" t="s">
        <v>42</v>
      </c>
      <c r="B44" s="33">
        <v>30</v>
      </c>
      <c r="C44" s="14">
        <f t="shared" ref="C44:F44" si="55">ROUND(C86+C129+C172,-3)</f>
        <v>2993000</v>
      </c>
      <c r="D44" s="14">
        <f t="shared" si="55"/>
        <v>4187000</v>
      </c>
      <c r="E44" s="14">
        <f t="shared" si="55"/>
        <v>5903000</v>
      </c>
      <c r="F44" s="14">
        <f t="shared" si="55"/>
        <v>20045000</v>
      </c>
      <c r="G44" s="104"/>
      <c r="H44" s="4" t="s">
        <v>42</v>
      </c>
      <c r="I44" s="33">
        <v>30</v>
      </c>
      <c r="J44" s="14">
        <f t="shared" ref="J44:M44" si="56">ROUND(J86+J129+J172,-3)</f>
        <v>2181000</v>
      </c>
      <c r="K44" s="14">
        <f t="shared" si="56"/>
        <v>3131000</v>
      </c>
      <c r="L44" s="14">
        <f t="shared" si="56"/>
        <v>3793000</v>
      </c>
      <c r="M44" s="14">
        <f t="shared" si="56"/>
        <v>19220000</v>
      </c>
      <c r="N44" s="248"/>
      <c r="O44" s="4" t="s">
        <v>42</v>
      </c>
      <c r="P44" s="33">
        <v>30</v>
      </c>
      <c r="Q44" s="14">
        <f t="shared" ref="Q44:T44" si="57">ROUND(Q86+Q129+Q172,-3)</f>
        <v>3805000</v>
      </c>
      <c r="R44" s="14">
        <f t="shared" si="57"/>
        <v>5243000</v>
      </c>
      <c r="S44" s="14">
        <f t="shared" si="57"/>
        <v>8013000</v>
      </c>
      <c r="T44" s="14">
        <f t="shared" si="57"/>
        <v>20869000</v>
      </c>
    </row>
    <row r="45" spans="1:20" x14ac:dyDescent="0.25">
      <c r="A45" s="4" t="s">
        <v>42</v>
      </c>
      <c r="B45" s="33">
        <v>31</v>
      </c>
      <c r="C45" s="14">
        <f t="shared" ref="C45:F45" si="58">ROUND(C87+C130+C173,-3)</f>
        <v>3201000</v>
      </c>
      <c r="D45" s="14">
        <f t="shared" si="58"/>
        <v>4517000</v>
      </c>
      <c r="E45" s="14">
        <f t="shared" si="58"/>
        <v>6354000</v>
      </c>
      <c r="F45" s="14">
        <f t="shared" si="58"/>
        <v>21833000</v>
      </c>
      <c r="G45" s="104"/>
      <c r="H45" s="4" t="s">
        <v>42</v>
      </c>
      <c r="I45" s="33">
        <v>31</v>
      </c>
      <c r="J45" s="14">
        <f t="shared" ref="J45:M45" si="59">ROUND(J87+J130+J173,-3)</f>
        <v>2329000</v>
      </c>
      <c r="K45" s="14">
        <f t="shared" si="59"/>
        <v>3369000</v>
      </c>
      <c r="L45" s="14">
        <f t="shared" si="59"/>
        <v>4069000</v>
      </c>
      <c r="M45" s="14">
        <f t="shared" si="59"/>
        <v>20969000</v>
      </c>
      <c r="N45" s="248"/>
      <c r="O45" s="4" t="s">
        <v>42</v>
      </c>
      <c r="P45" s="33">
        <v>31</v>
      </c>
      <c r="Q45" s="14">
        <f t="shared" ref="Q45:T45" si="60">ROUND(Q87+Q130+Q173,-3)</f>
        <v>4073000</v>
      </c>
      <c r="R45" s="14">
        <f t="shared" si="60"/>
        <v>5665000</v>
      </c>
      <c r="S45" s="14">
        <f t="shared" si="60"/>
        <v>8638000</v>
      </c>
      <c r="T45" s="14">
        <f t="shared" si="60"/>
        <v>22698000</v>
      </c>
    </row>
    <row r="46" spans="1:20" x14ac:dyDescent="0.25">
      <c r="A46" s="4" t="s">
        <v>42</v>
      </c>
      <c r="B46" s="33">
        <v>32</v>
      </c>
      <c r="C46" s="14">
        <f t="shared" ref="C46:F46" si="61">ROUND(C88+C131+C174,-3)</f>
        <v>3428000</v>
      </c>
      <c r="D46" s="14">
        <f t="shared" si="61"/>
        <v>4879000</v>
      </c>
      <c r="E46" s="14">
        <f t="shared" si="61"/>
        <v>6846000</v>
      </c>
      <c r="F46" s="14">
        <f t="shared" si="61"/>
        <v>23795000</v>
      </c>
      <c r="G46" s="104"/>
      <c r="H46" s="4" t="s">
        <v>42</v>
      </c>
      <c r="I46" s="33">
        <v>32</v>
      </c>
      <c r="J46" s="14">
        <f t="shared" ref="J46:M46" si="62">ROUND(J88+J131+J174,-3)</f>
        <v>2492000</v>
      </c>
      <c r="K46" s="14">
        <f t="shared" si="62"/>
        <v>3630000</v>
      </c>
      <c r="L46" s="14">
        <f t="shared" si="62"/>
        <v>4371000</v>
      </c>
      <c r="M46" s="14">
        <f t="shared" si="62"/>
        <v>22888000</v>
      </c>
      <c r="N46" s="248"/>
      <c r="O46" s="4" t="s">
        <v>42</v>
      </c>
      <c r="P46" s="33">
        <v>32</v>
      </c>
      <c r="Q46" s="14">
        <f t="shared" ref="Q46:T46" si="63">ROUND(Q88+Q131+Q174,-3)</f>
        <v>4365000</v>
      </c>
      <c r="R46" s="14">
        <f t="shared" si="63"/>
        <v>6127000</v>
      </c>
      <c r="S46" s="14">
        <f t="shared" si="63"/>
        <v>9322000</v>
      </c>
      <c r="T46" s="14">
        <f t="shared" si="63"/>
        <v>24701000</v>
      </c>
    </row>
    <row r="47" spans="1:20" x14ac:dyDescent="0.25">
      <c r="A47" s="4" t="s">
        <v>42</v>
      </c>
      <c r="B47" s="33">
        <v>33</v>
      </c>
      <c r="C47" s="14">
        <f t="shared" ref="C47:F47" si="64">ROUND(C89+C132+C175,-3)</f>
        <v>3676000</v>
      </c>
      <c r="D47" s="14">
        <f t="shared" si="64"/>
        <v>5274000</v>
      </c>
      <c r="E47" s="14">
        <f t="shared" si="64"/>
        <v>7384000</v>
      </c>
      <c r="F47" s="14">
        <f t="shared" si="64"/>
        <v>25946000</v>
      </c>
      <c r="G47" s="104"/>
      <c r="H47" s="4" t="s">
        <v>42</v>
      </c>
      <c r="I47" s="33">
        <v>33</v>
      </c>
      <c r="J47" s="14">
        <f t="shared" ref="J47:M47" si="65">ROUND(J89+J132+J175,-3)</f>
        <v>2669000</v>
      </c>
      <c r="K47" s="14">
        <f t="shared" si="65"/>
        <v>3916000</v>
      </c>
      <c r="L47" s="14">
        <f t="shared" si="65"/>
        <v>4700000</v>
      </c>
      <c r="M47" s="14">
        <f t="shared" si="65"/>
        <v>24994000</v>
      </c>
      <c r="N47" s="248"/>
      <c r="O47" s="4" t="s">
        <v>42</v>
      </c>
      <c r="P47" s="33">
        <v>33</v>
      </c>
      <c r="Q47" s="14">
        <f t="shared" ref="Q47:T47" si="66">ROUND(Q89+Q132+Q175,-3)</f>
        <v>4683000</v>
      </c>
      <c r="R47" s="14">
        <f t="shared" si="66"/>
        <v>6633000</v>
      </c>
      <c r="S47" s="14">
        <f t="shared" si="66"/>
        <v>10069000</v>
      </c>
      <c r="T47" s="14">
        <f t="shared" si="66"/>
        <v>26899000</v>
      </c>
    </row>
    <row r="48" spans="1:20" x14ac:dyDescent="0.25">
      <c r="A48" s="4" t="s">
        <v>42</v>
      </c>
      <c r="B48" s="33">
        <v>34</v>
      </c>
      <c r="C48" s="14">
        <f t="shared" ref="C48:F48" si="67">ROUND(C90+C133+C176,-3)</f>
        <v>3946000</v>
      </c>
      <c r="D48" s="14">
        <f t="shared" si="67"/>
        <v>5707000</v>
      </c>
      <c r="E48" s="14">
        <f t="shared" si="67"/>
        <v>7972000</v>
      </c>
      <c r="F48" s="14">
        <f t="shared" si="67"/>
        <v>28307000</v>
      </c>
      <c r="G48" s="104"/>
      <c r="H48" s="4" t="s">
        <v>42</v>
      </c>
      <c r="I48" s="33">
        <v>34</v>
      </c>
      <c r="J48" s="14">
        <f t="shared" ref="J48:M48" si="68">ROUND(J90+J133+J176,-3)</f>
        <v>2862000</v>
      </c>
      <c r="K48" s="14">
        <f t="shared" si="68"/>
        <v>4228000</v>
      </c>
      <c r="L48" s="14">
        <f t="shared" si="68"/>
        <v>5059000</v>
      </c>
      <c r="M48" s="14">
        <f t="shared" si="68"/>
        <v>27306000</v>
      </c>
      <c r="N48" s="248"/>
      <c r="O48" s="4" t="s">
        <v>42</v>
      </c>
      <c r="P48" s="33">
        <v>34</v>
      </c>
      <c r="Q48" s="14">
        <f t="shared" ref="Q48:T48" si="69">ROUND(Q90+Q133+Q176,-3)</f>
        <v>5030000</v>
      </c>
      <c r="R48" s="14">
        <f t="shared" si="69"/>
        <v>7186000</v>
      </c>
      <c r="S48" s="14">
        <f t="shared" si="69"/>
        <v>10886000</v>
      </c>
      <c r="T48" s="14">
        <f t="shared" si="69"/>
        <v>29308000</v>
      </c>
    </row>
    <row r="49" spans="1:20" x14ac:dyDescent="0.25">
      <c r="A49" s="4" t="s">
        <v>42</v>
      </c>
      <c r="B49" s="33">
        <v>35</v>
      </c>
      <c r="C49" s="14">
        <f t="shared" ref="C49:F49" si="70">ROUND(C91+C134+C177,-3)</f>
        <v>4241000</v>
      </c>
      <c r="D49" s="14">
        <f t="shared" si="70"/>
        <v>6181000</v>
      </c>
      <c r="E49" s="14">
        <f t="shared" si="70"/>
        <v>8615000</v>
      </c>
      <c r="F49" s="14">
        <f t="shared" si="70"/>
        <v>30897000</v>
      </c>
      <c r="G49" s="104"/>
      <c r="H49" s="4" t="s">
        <v>42</v>
      </c>
      <c r="I49" s="33">
        <v>35</v>
      </c>
      <c r="J49" s="14">
        <f t="shared" ref="J49:M49" si="71">ROUND(J91+J134+J177,-3)</f>
        <v>3073000</v>
      </c>
      <c r="K49" s="14">
        <f t="shared" si="71"/>
        <v>4569000</v>
      </c>
      <c r="L49" s="14">
        <f t="shared" si="71"/>
        <v>5451000</v>
      </c>
      <c r="M49" s="14">
        <f t="shared" si="71"/>
        <v>29844000</v>
      </c>
      <c r="N49" s="248"/>
      <c r="O49" s="4" t="s">
        <v>42</v>
      </c>
      <c r="P49" s="33">
        <v>35</v>
      </c>
      <c r="Q49" s="14">
        <f t="shared" ref="Q49:T49" si="72">ROUND(Q91+Q134+Q177,-3)</f>
        <v>5409000</v>
      </c>
      <c r="R49" s="14">
        <f t="shared" si="72"/>
        <v>7792000</v>
      </c>
      <c r="S49" s="14">
        <f t="shared" si="72"/>
        <v>11779000</v>
      </c>
      <c r="T49" s="14">
        <f t="shared" si="72"/>
        <v>31950000</v>
      </c>
    </row>
    <row r="50" spans="1:20" x14ac:dyDescent="0.25">
      <c r="A50" s="4" t="s">
        <v>42</v>
      </c>
      <c r="B50" s="33">
        <v>36</v>
      </c>
      <c r="C50" s="14">
        <f t="shared" ref="C50:F50" si="73">ROUND(C92+C135+C178,-3)</f>
        <v>4563000</v>
      </c>
      <c r="D50" s="14">
        <f t="shared" si="73"/>
        <v>6700000</v>
      </c>
      <c r="E50" s="14">
        <f t="shared" si="73"/>
        <v>9319000</v>
      </c>
      <c r="F50" s="14">
        <f t="shared" si="73"/>
        <v>33740000</v>
      </c>
      <c r="G50" s="104"/>
      <c r="H50" s="4" t="s">
        <v>42</v>
      </c>
      <c r="I50" s="33">
        <v>36</v>
      </c>
      <c r="J50" s="14">
        <f t="shared" ref="J50:M50" si="74">ROUND(J92+J135+J178,-3)</f>
        <v>3303000</v>
      </c>
      <c r="K50" s="14">
        <f t="shared" si="74"/>
        <v>4943000</v>
      </c>
      <c r="L50" s="14">
        <f t="shared" si="74"/>
        <v>5880000</v>
      </c>
      <c r="M50" s="14">
        <f t="shared" si="74"/>
        <v>32631000</v>
      </c>
      <c r="N50" s="248"/>
      <c r="O50" s="4" t="s">
        <v>42</v>
      </c>
      <c r="P50" s="33">
        <v>36</v>
      </c>
      <c r="Q50" s="14">
        <f t="shared" ref="Q50:T50" si="75">ROUND(Q92+Q135+Q178,-3)</f>
        <v>5823000</v>
      </c>
      <c r="R50" s="14">
        <f t="shared" si="75"/>
        <v>8456000</v>
      </c>
      <c r="S50" s="14">
        <f t="shared" si="75"/>
        <v>12757000</v>
      </c>
      <c r="T50" s="14">
        <f t="shared" si="75"/>
        <v>34849000</v>
      </c>
    </row>
    <row r="51" spans="1:20" x14ac:dyDescent="0.25">
      <c r="A51" s="4" t="s">
        <v>42</v>
      </c>
      <c r="B51" s="33">
        <v>37</v>
      </c>
      <c r="C51" s="14">
        <f t="shared" ref="C51:F51" si="76">ROUND(C93+C136+C179,-3)</f>
        <v>4915000</v>
      </c>
      <c r="D51" s="14">
        <f t="shared" si="76"/>
        <v>7268000</v>
      </c>
      <c r="E51" s="14">
        <f t="shared" si="76"/>
        <v>10088000</v>
      </c>
      <c r="F51" s="14">
        <f t="shared" si="76"/>
        <v>36861000</v>
      </c>
      <c r="G51" s="104"/>
      <c r="H51" s="4" t="s">
        <v>42</v>
      </c>
      <c r="I51" s="33">
        <v>37</v>
      </c>
      <c r="J51" s="14">
        <f t="shared" ref="J51:M51" si="77">ROUND(J93+J136+J179,-3)</f>
        <v>3555000</v>
      </c>
      <c r="K51" s="14">
        <f t="shared" si="77"/>
        <v>5352000</v>
      </c>
      <c r="L51" s="14">
        <f t="shared" si="77"/>
        <v>6350000</v>
      </c>
      <c r="M51" s="14">
        <f t="shared" si="77"/>
        <v>35691000</v>
      </c>
      <c r="N51" s="248"/>
      <c r="O51" s="4" t="s">
        <v>42</v>
      </c>
      <c r="P51" s="33">
        <v>37</v>
      </c>
      <c r="Q51" s="14">
        <f t="shared" ref="Q51:T51" si="78">ROUND(Q93+Q136+Q179,-3)</f>
        <v>6276000</v>
      </c>
      <c r="R51" s="14">
        <f t="shared" si="78"/>
        <v>9184000</v>
      </c>
      <c r="S51" s="14">
        <f t="shared" si="78"/>
        <v>13827000</v>
      </c>
      <c r="T51" s="14">
        <f t="shared" si="78"/>
        <v>38030000</v>
      </c>
    </row>
    <row r="52" spans="1:20" x14ac:dyDescent="0.25">
      <c r="A52" s="4" t="s">
        <v>42</v>
      </c>
      <c r="B52" s="33">
        <v>38</v>
      </c>
      <c r="C52" s="14">
        <f t="shared" ref="C52:F52" si="79">ROUND(C94+C137+C180,-3)</f>
        <v>5300000</v>
      </c>
      <c r="D52" s="14">
        <f t="shared" si="79"/>
        <v>7891000</v>
      </c>
      <c r="E52" s="14">
        <f t="shared" si="79"/>
        <v>10931000</v>
      </c>
      <c r="F52" s="14">
        <f t="shared" si="79"/>
        <v>40286000</v>
      </c>
      <c r="G52" s="104"/>
      <c r="H52" s="4" t="s">
        <v>42</v>
      </c>
      <c r="I52" s="33">
        <v>38</v>
      </c>
      <c r="J52" s="14">
        <f t="shared" ref="J52:M52" si="80">ROUND(J94+J137+J180,-3)</f>
        <v>3831000</v>
      </c>
      <c r="K52" s="14">
        <f t="shared" si="80"/>
        <v>5800000</v>
      </c>
      <c r="L52" s="14">
        <f t="shared" si="80"/>
        <v>6863000</v>
      </c>
      <c r="M52" s="14">
        <f t="shared" si="80"/>
        <v>39052000</v>
      </c>
      <c r="N52" s="248"/>
      <c r="O52" s="4" t="s">
        <v>42</v>
      </c>
      <c r="P52" s="33">
        <v>38</v>
      </c>
      <c r="Q52" s="14">
        <f t="shared" ref="Q52:T52" si="81">ROUND(Q94+Q137+Q180,-3)</f>
        <v>6770000</v>
      </c>
      <c r="R52" s="14">
        <f t="shared" si="81"/>
        <v>9981000</v>
      </c>
      <c r="S52" s="14">
        <f t="shared" si="81"/>
        <v>14999000</v>
      </c>
      <c r="T52" s="14">
        <f t="shared" si="81"/>
        <v>41521000</v>
      </c>
    </row>
    <row r="53" spans="1:20" x14ac:dyDescent="0.25">
      <c r="A53" s="4" t="s">
        <v>42</v>
      </c>
      <c r="B53" s="33">
        <v>39</v>
      </c>
      <c r="C53" s="14">
        <f t="shared" ref="C53:F53" si="82">ROUND(C95+C138+C181,-3)</f>
        <v>5721000</v>
      </c>
      <c r="D53" s="14">
        <f t="shared" si="82"/>
        <v>8573000</v>
      </c>
      <c r="E53" s="14">
        <f t="shared" si="82"/>
        <v>11854000</v>
      </c>
      <c r="F53" s="14">
        <f t="shared" si="82"/>
        <v>44048000</v>
      </c>
      <c r="G53" s="104"/>
      <c r="H53" s="4" t="s">
        <v>42</v>
      </c>
      <c r="I53" s="33">
        <v>39</v>
      </c>
      <c r="J53" s="14">
        <f t="shared" ref="J53:M53" si="83">ROUND(J95+J138+J181,-3)</f>
        <v>4132000</v>
      </c>
      <c r="K53" s="14">
        <f t="shared" si="83"/>
        <v>6291000</v>
      </c>
      <c r="L53" s="14">
        <f t="shared" si="83"/>
        <v>7424000</v>
      </c>
      <c r="M53" s="14">
        <f t="shared" si="83"/>
        <v>42744000</v>
      </c>
      <c r="N53" s="248"/>
      <c r="O53" s="4" t="s">
        <v>42</v>
      </c>
      <c r="P53" s="33">
        <v>39</v>
      </c>
      <c r="Q53" s="14">
        <f t="shared" ref="Q53:T53" si="84">ROUND(Q95+Q138+Q181,-3)</f>
        <v>7310000</v>
      </c>
      <c r="R53" s="14">
        <f t="shared" si="84"/>
        <v>10855000</v>
      </c>
      <c r="S53" s="14">
        <f t="shared" si="84"/>
        <v>16283000</v>
      </c>
      <c r="T53" s="14">
        <f t="shared" si="84"/>
        <v>45352000</v>
      </c>
    </row>
    <row r="54" spans="1:20" x14ac:dyDescent="0.25">
      <c r="A54" s="4" t="s">
        <v>42</v>
      </c>
      <c r="B54" s="33">
        <v>40</v>
      </c>
      <c r="C54" s="14">
        <f t="shared" ref="C54:F54" si="85">ROUND(C96+C139+C182,-3)</f>
        <v>6181000</v>
      </c>
      <c r="D54" s="14">
        <f t="shared" si="85"/>
        <v>9322000</v>
      </c>
      <c r="E54" s="14">
        <f t="shared" si="85"/>
        <v>12864000</v>
      </c>
      <c r="F54" s="14">
        <f t="shared" si="85"/>
        <v>48179000</v>
      </c>
      <c r="G54" s="104"/>
      <c r="H54" s="4" t="s">
        <v>42</v>
      </c>
      <c r="I54" s="33">
        <v>40</v>
      </c>
      <c r="J54" s="14">
        <f t="shared" ref="J54:M54" si="86">ROUND(J96+J139+J182,-3)</f>
        <v>4461000</v>
      </c>
      <c r="K54" s="14">
        <f t="shared" si="86"/>
        <v>6829000</v>
      </c>
      <c r="L54" s="14">
        <f t="shared" si="86"/>
        <v>8039000</v>
      </c>
      <c r="M54" s="14">
        <f t="shared" si="86"/>
        <v>46799000</v>
      </c>
      <c r="N54" s="248"/>
      <c r="O54" s="4" t="s">
        <v>42</v>
      </c>
      <c r="P54" s="33">
        <v>40</v>
      </c>
      <c r="Q54" s="14">
        <f t="shared" ref="Q54:T54" si="87">ROUND(Q96+Q139+Q182,-3)</f>
        <v>7901000</v>
      </c>
      <c r="R54" s="14">
        <f t="shared" si="87"/>
        <v>11814000</v>
      </c>
      <c r="S54" s="14">
        <f t="shared" si="87"/>
        <v>17689000</v>
      </c>
      <c r="T54" s="14">
        <f t="shared" si="87"/>
        <v>49558000</v>
      </c>
    </row>
    <row r="55" spans="1:20" ht="30" x14ac:dyDescent="0.25">
      <c r="A55" s="38" t="s">
        <v>149</v>
      </c>
      <c r="B55" s="34"/>
      <c r="C55" s="37"/>
      <c r="H55" s="38"/>
      <c r="I55" s="34"/>
      <c r="J55" s="37"/>
      <c r="O55" s="38"/>
      <c r="P55" s="34"/>
      <c r="Q55" s="37"/>
    </row>
    <row r="56" spans="1:20" x14ac:dyDescent="0.25">
      <c r="A56" s="4" t="s">
        <v>42</v>
      </c>
      <c r="B56" s="33">
        <v>0</v>
      </c>
      <c r="C56" s="14">
        <f>0</f>
        <v>0</v>
      </c>
      <c r="D56" s="14">
        <f>0</f>
        <v>0</v>
      </c>
      <c r="E56" s="14">
        <f>0</f>
        <v>0</v>
      </c>
      <c r="F56" s="14">
        <f>0</f>
        <v>0</v>
      </c>
      <c r="G56" s="248"/>
      <c r="H56" s="4" t="s">
        <v>42</v>
      </c>
      <c r="I56" s="33">
        <v>0</v>
      </c>
      <c r="J56" s="14">
        <f>0</f>
        <v>0</v>
      </c>
      <c r="K56" s="14">
        <f>0</f>
        <v>0</v>
      </c>
      <c r="L56" s="14">
        <f>0</f>
        <v>0</v>
      </c>
      <c r="M56" s="14">
        <f>0</f>
        <v>0</v>
      </c>
      <c r="N56" s="248"/>
      <c r="O56" s="4" t="s">
        <v>42</v>
      </c>
      <c r="P56" s="33">
        <v>0</v>
      </c>
      <c r="Q56" s="14">
        <f>0</f>
        <v>0</v>
      </c>
      <c r="R56" s="14">
        <f>0</f>
        <v>0</v>
      </c>
      <c r="S56" s="14">
        <f>0</f>
        <v>0</v>
      </c>
      <c r="T56" s="14">
        <f>0</f>
        <v>0</v>
      </c>
    </row>
    <row r="57" spans="1:20" x14ac:dyDescent="0.25">
      <c r="A57" s="4" t="s">
        <v>42</v>
      </c>
      <c r="B57" s="33">
        <v>1</v>
      </c>
      <c r="C57" s="14">
        <f>C$5+'RORO Oper Maint'!C$4</f>
        <v>320829.75397542858</v>
      </c>
      <c r="D57" s="14">
        <f>D$5+'RORO Oper Maint'!D$4</f>
        <v>357456.2110325807</v>
      </c>
      <c r="E57" s="14">
        <f>E$5+'RORO Oper Maint'!E$4</f>
        <v>450408.59281347104</v>
      </c>
      <c r="F57" s="14">
        <f>F$5+'RORO Oper Maint'!F$4</f>
        <v>1260988.9329438361</v>
      </c>
      <c r="G57" s="248"/>
      <c r="H57" s="4" t="s">
        <v>42</v>
      </c>
      <c r="I57" s="33">
        <v>1</v>
      </c>
      <c r="J57" s="14">
        <f>J$5+'RORO Oper Maint'!J$4</f>
        <v>288762.17797542858</v>
      </c>
      <c r="K57" s="14">
        <f>K$5+'RORO Oper Maint'!K$4</f>
        <v>303108.78006483876</v>
      </c>
      <c r="L57" s="14">
        <f>L$5+'RORO Oper Maint'!L$4</f>
        <v>349447.78836185811</v>
      </c>
      <c r="M57" s="14">
        <f>M$5+'RORO Oper Maint'!M$4</f>
        <v>1246608.4257714013</v>
      </c>
      <c r="N57" s="248"/>
      <c r="O57" s="4" t="s">
        <v>42</v>
      </c>
      <c r="P57" s="33">
        <v>1</v>
      </c>
      <c r="Q57" s="14">
        <f>Q$5+'RORO Oper Maint'!Q$4</f>
        <v>352897.32997542853</v>
      </c>
      <c r="R57" s="14">
        <f>R$5+'RORO Oper Maint'!R$4</f>
        <v>411803.64200032264</v>
      </c>
      <c r="S57" s="14">
        <f>S$5+'RORO Oper Maint'!S$4</f>
        <v>551369.39726508397</v>
      </c>
      <c r="T57" s="14">
        <f>T$5+'RORO Oper Maint'!T$4</f>
        <v>1275369.4401162707</v>
      </c>
    </row>
    <row r="58" spans="1:20" x14ac:dyDescent="0.25">
      <c r="A58" s="4" t="s">
        <v>42</v>
      </c>
      <c r="B58" s="33">
        <v>2</v>
      </c>
      <c r="C58" s="14">
        <f>C$5*((1+'User Inputs'!$E$9)^$B57)+C$4*((1+'User Inputs'!$E$12)^$B57)</f>
        <v>336369.91037297144</v>
      </c>
      <c r="D58" s="14">
        <f>D$5*((1+'User Inputs'!$E$9)^$B57)+D$4*((1+'User Inputs'!$E$12)^$B57)</f>
        <v>379892.18063583877</v>
      </c>
      <c r="E58" s="14">
        <f>E$5*((1+'User Inputs'!$E$9)^$B57)+E$4*((1+'User Inputs'!$E$12)^$B57)</f>
        <v>479782.86409481813</v>
      </c>
      <c r="F58" s="14">
        <f>F$5*((1+'User Inputs'!$E$9)^$B57)+F$4*((1+'User Inputs'!$E$12)^$B57)</f>
        <v>1372475.4202382199</v>
      </c>
      <c r="G58" s="248"/>
      <c r="H58" s="4" t="s">
        <v>42</v>
      </c>
      <c r="I58" s="33">
        <v>2</v>
      </c>
      <c r="J58" s="14">
        <f>J$5*((1+'User Inputs'!$E$9)^$B57)+J$4*((1+'User Inputs'!$E$12)^$B57)</f>
        <v>301095.57677297143</v>
      </c>
      <c r="K58" s="14">
        <f>K$5*((1+'User Inputs'!$E$9)^$B57)+K$4*((1+'User Inputs'!$E$12)^$B57)</f>
        <v>320110.00657132268</v>
      </c>
      <c r="L58" s="14">
        <f>L$5*((1+'User Inputs'!$E$9)^$B57)+L$4*((1+'User Inputs'!$E$12)^$B57)</f>
        <v>368725.97919804393</v>
      </c>
      <c r="M58" s="14">
        <f>M$5*((1+'User Inputs'!$E$9)^$B57)+M$4*((1+'User Inputs'!$E$12)^$B57)</f>
        <v>1356656.8623485416</v>
      </c>
      <c r="N58" s="248"/>
      <c r="O58" s="4" t="s">
        <v>42</v>
      </c>
      <c r="P58" s="33">
        <v>2</v>
      </c>
      <c r="Q58" s="14">
        <f>Q$5*((1+'User Inputs'!$E$9)^$B57)+Q$4*((1+'User Inputs'!$E$12)^$B57)</f>
        <v>371644.24397297145</v>
      </c>
      <c r="R58" s="14">
        <f>R$5*((1+'User Inputs'!$E$9)^$B57)+R$4*((1+'User Inputs'!$E$12)^$B57)</f>
        <v>439674.35470035492</v>
      </c>
      <c r="S58" s="14">
        <f>S$5*((1+'User Inputs'!$E$9)^$B57)+S$4*((1+'User Inputs'!$E$12)^$B57)</f>
        <v>590839.74899159244</v>
      </c>
      <c r="T58" s="14">
        <f>T$5*((1+'User Inputs'!$E$9)^$B57)+T$4*((1+'User Inputs'!$E$12)^$B57)</f>
        <v>1388293.9781278979</v>
      </c>
    </row>
    <row r="59" spans="1:20" x14ac:dyDescent="0.25">
      <c r="A59" s="4" t="s">
        <v>42</v>
      </c>
      <c r="B59" s="33">
        <v>3</v>
      </c>
      <c r="C59" s="14">
        <f>C$5*((1+'User Inputs'!$E$9)^$B58)+C$4*((1+'User Inputs'!$E$12)^$B58)</f>
        <v>353133.22603026859</v>
      </c>
      <c r="D59" s="14">
        <f>D$5*((1+'User Inputs'!$E$9)^$B58)+D$4*((1+'User Inputs'!$E$12)^$B58)</f>
        <v>404305.55416942271</v>
      </c>
      <c r="E59" s="14">
        <f>E$5*((1+'User Inputs'!$E$9)^$B58)+E$4*((1+'User Inputs'!$E$12)^$B58)</f>
        <v>511781.23074429994</v>
      </c>
      <c r="F59" s="14">
        <f>F$5*((1+'User Inputs'!$E$9)^$B58)+F$4*((1+'User Inputs'!$E$12)^$B58)</f>
        <v>1494818.308142042</v>
      </c>
      <c r="G59" s="248"/>
      <c r="H59" s="4" t="s">
        <v>42</v>
      </c>
      <c r="I59" s="33">
        <v>3</v>
      </c>
      <c r="J59" s="14">
        <f>J$5*((1+'User Inputs'!$E$9)^$B58)+J$4*((1+'User Inputs'!$E$12)^$B58)</f>
        <v>314331.45907026861</v>
      </c>
      <c r="K59" s="14">
        <f>K$5*((1+'User Inputs'!$E$9)^$B58)+K$4*((1+'User Inputs'!$E$12)^$B58)</f>
        <v>338545.16269845492</v>
      </c>
      <c r="L59" s="14">
        <f>L$5*((1+'User Inputs'!$E$9)^$B58)+L$4*((1+'User Inputs'!$E$12)^$B58)</f>
        <v>389618.65735784837</v>
      </c>
      <c r="M59" s="14">
        <f>M$5*((1+'User Inputs'!$E$9)^$B58)+M$4*((1+'User Inputs'!$E$12)^$B58)</f>
        <v>1477417.8944633959</v>
      </c>
      <c r="N59" s="248"/>
      <c r="O59" s="4" t="s">
        <v>42</v>
      </c>
      <c r="P59" s="33">
        <v>3</v>
      </c>
      <c r="Q59" s="14">
        <f>Q$5*((1+'User Inputs'!$E$9)^$B58)+Q$4*((1+'User Inputs'!$E$12)^$B58)</f>
        <v>391934.99299026863</v>
      </c>
      <c r="R59" s="14">
        <f>R$5*((1+'User Inputs'!$E$9)^$B58)+R$4*((1+'User Inputs'!$E$12)^$B58)</f>
        <v>470065.94564039039</v>
      </c>
      <c r="S59" s="14">
        <f>S$5*((1+'User Inputs'!$E$9)^$B58)+S$4*((1+'User Inputs'!$E$12)^$B58)</f>
        <v>633943.80413075164</v>
      </c>
      <c r="T59" s="14">
        <f>T$5*((1+'User Inputs'!$E$9)^$B58)+T$4*((1+'User Inputs'!$E$12)^$B58)</f>
        <v>1512218.7218206879</v>
      </c>
    </row>
    <row r="60" spans="1:20" x14ac:dyDescent="0.25">
      <c r="A60" s="4" t="s">
        <v>42</v>
      </c>
      <c r="B60" s="33">
        <v>4</v>
      </c>
      <c r="C60" s="14">
        <f>C$5*((1+'User Inputs'!$E$9)^$B59)+C$4*((1+'User Inputs'!$E$12)^$B59)</f>
        <v>371235.39974569547</v>
      </c>
      <c r="D60" s="14">
        <f>D$5*((1+'User Inputs'!$E$9)^$B59)+D$4*((1+'User Inputs'!$E$12)^$B59)</f>
        <v>430888.74816576496</v>
      </c>
      <c r="E60" s="14">
        <f>E$5*((1+'User Inputs'!$E$9)^$B59)+E$4*((1+'User Inputs'!$E$12)^$B59)</f>
        <v>546659.83566353004</v>
      </c>
      <c r="F60" s="14">
        <f>F$5*((1+'User Inputs'!$E$9)^$B59)+F$4*((1+'User Inputs'!$E$12)^$B59)</f>
        <v>1629097.3917538463</v>
      </c>
      <c r="G60" s="248"/>
      <c r="H60" s="4" t="s">
        <v>42</v>
      </c>
      <c r="I60" s="33">
        <v>4</v>
      </c>
      <c r="J60" s="14">
        <f>J$5*((1+'User Inputs'!$E$9)^$B59)+J$4*((1+'User Inputs'!$E$12)^$B59)</f>
        <v>328553.45608969545</v>
      </c>
      <c r="K60" s="14">
        <f>K$5*((1+'User Inputs'!$E$9)^$B59)+K$4*((1+'User Inputs'!$E$12)^$B59)</f>
        <v>358552.31754770048</v>
      </c>
      <c r="L60" s="14">
        <f>L$5*((1+'User Inputs'!$E$9)^$B59)+L$4*((1+'User Inputs'!$E$12)^$B59)</f>
        <v>412281.00493843318</v>
      </c>
      <c r="M60" s="14">
        <f>M$5*((1+'User Inputs'!$E$9)^$B59)+M$4*((1+'User Inputs'!$E$12)^$B59)</f>
        <v>1609956.9367073355</v>
      </c>
      <c r="N60" s="248"/>
      <c r="O60" s="4" t="s">
        <v>42</v>
      </c>
      <c r="P60" s="33">
        <v>4</v>
      </c>
      <c r="Q60" s="14">
        <f>Q$5*((1+'User Inputs'!$E$9)^$B59)+Q$4*((1+'User Inputs'!$E$12)^$B59)</f>
        <v>413917.34340169549</v>
      </c>
      <c r="R60" s="14">
        <f>R$5*((1+'User Inputs'!$E$9)^$B59)+R$4*((1+'User Inputs'!$E$12)^$B59)</f>
        <v>503225.17878382956</v>
      </c>
      <c r="S60" s="14">
        <f>S$5*((1+'User Inputs'!$E$9)^$B59)+S$4*((1+'User Inputs'!$E$12)^$B59)</f>
        <v>681038.66638862691</v>
      </c>
      <c r="T60" s="14">
        <f>T$5*((1+'User Inputs'!$E$9)^$B59)+T$4*((1+'User Inputs'!$E$12)^$B59)</f>
        <v>1648237.8468003566</v>
      </c>
    </row>
    <row r="61" spans="1:20" x14ac:dyDescent="0.25">
      <c r="A61" s="4" t="s">
        <v>42</v>
      </c>
      <c r="B61" s="33">
        <v>5</v>
      </c>
      <c r="C61" s="14">
        <f>C$5*((1+'User Inputs'!$E$9)^$B60)+C$4*((1+'User Inputs'!$E$12)^$B60)</f>
        <v>390803.56785491301</v>
      </c>
      <c r="D61" s="14">
        <f>D$5*((1+'User Inputs'!$E$9)^$B60)+D$4*((1+'User Inputs'!$E$12)^$B60)</f>
        <v>459853.3143333295</v>
      </c>
      <c r="E61" s="14">
        <f>E$5*((1+'User Inputs'!$E$9)^$B60)+E$4*((1+'User Inputs'!$E$12)^$B60)</f>
        <v>584700.31071157905</v>
      </c>
      <c r="F61" s="14">
        <f>F$5*((1+'User Inputs'!$E$9)^$B60)+F$4*((1+'User Inputs'!$E$12)^$B60)</f>
        <v>1776500.3287827829</v>
      </c>
      <c r="G61" s="248"/>
      <c r="H61" s="4" t="s">
        <v>42</v>
      </c>
      <c r="I61" s="33">
        <v>5</v>
      </c>
      <c r="J61" s="14">
        <f>J$5*((1+'User Inputs'!$E$9)^$B60)+J$4*((1+'User Inputs'!$E$12)^$B60)</f>
        <v>343853.42983331298</v>
      </c>
      <c r="K61" s="14">
        <f>K$5*((1+'User Inputs'!$E$9)^$B60)+K$4*((1+'User Inputs'!$E$12)^$B60)</f>
        <v>380283.24065345852</v>
      </c>
      <c r="L61" s="14">
        <f>L$5*((1+'User Inputs'!$E$9)^$B60)+L$4*((1+'User Inputs'!$E$12)^$B60)</f>
        <v>436883.59691397252</v>
      </c>
      <c r="M61" s="14">
        <f>M$5*((1+'User Inputs'!$E$9)^$B60)+M$4*((1+'User Inputs'!$E$12)^$B60)</f>
        <v>1755445.8282316211</v>
      </c>
      <c r="N61" s="248"/>
      <c r="O61" s="4" t="s">
        <v>42</v>
      </c>
      <c r="P61" s="33">
        <v>5</v>
      </c>
      <c r="Q61" s="14">
        <f>Q$5*((1+'User Inputs'!$E$9)^$B60)+Q$4*((1+'User Inputs'!$E$12)^$B60)</f>
        <v>437753.70587651304</v>
      </c>
      <c r="R61" s="14">
        <f>R$5*((1+'User Inputs'!$E$9)^$B60)+R$4*((1+'User Inputs'!$E$12)^$B60)</f>
        <v>539423.38801320049</v>
      </c>
      <c r="S61" s="14">
        <f>S$5*((1+'User Inputs'!$E$9)^$B60)+S$4*((1+'User Inputs'!$E$12)^$B60)</f>
        <v>732517.02450918569</v>
      </c>
      <c r="T61" s="14">
        <f>T$5*((1+'User Inputs'!$E$9)^$B60)+T$4*((1+'User Inputs'!$E$12)^$B60)</f>
        <v>1797554.8293339445</v>
      </c>
    </row>
    <row r="62" spans="1:20" x14ac:dyDescent="0.25">
      <c r="A62" s="4" t="s">
        <v>42</v>
      </c>
      <c r="B62" s="33">
        <v>6</v>
      </c>
      <c r="C62" s="14">
        <f>C$5*((1+'User Inputs'!$E$9)^$B61)+C$4*((1+'User Inputs'!$E$12)^$B61)</f>
        <v>411977.4453377453</v>
      </c>
      <c r="D62" s="14">
        <f>D$5*((1+'User Inputs'!$E$9)^$B61)+D$4*((1+'User Inputs'!$E$12)^$B61)</f>
        <v>491431.85094467021</v>
      </c>
      <c r="E62" s="14">
        <f>E$5*((1+'User Inputs'!$E$9)^$B61)+E$4*((1+'User Inputs'!$E$12)^$B61)</f>
        <v>626212.32309406693</v>
      </c>
      <c r="F62" s="14">
        <f>F$5*((1+'User Inputs'!$E$9)^$B61)+F$4*((1+'User Inputs'!$E$12)^$B61)</f>
        <v>1938333.4234716846</v>
      </c>
      <c r="G62" s="248"/>
      <c r="H62" s="4" t="s">
        <v>42</v>
      </c>
      <c r="I62" s="33">
        <v>6</v>
      </c>
      <c r="J62" s="14">
        <f>J$5*((1+'User Inputs'!$E$9)^$B61)+J$4*((1+'User Inputs'!$E$12)^$B61)</f>
        <v>360332.29351398529</v>
      </c>
      <c r="K62" s="14">
        <f>K$5*((1+'User Inputs'!$E$9)^$B61)+K$4*((1+'User Inputs'!$E$12)^$B61)</f>
        <v>403904.76989681215</v>
      </c>
      <c r="L62" s="14">
        <f>L$5*((1+'User Inputs'!$E$9)^$B61)+L$4*((1+'User Inputs'!$E$12)^$B61)</f>
        <v>463613.93791669968</v>
      </c>
      <c r="M62" s="14">
        <f>M$5*((1+'User Inputs'!$E$9)^$B61)+M$4*((1+'User Inputs'!$E$12)^$B61)</f>
        <v>1915173.4728654064</v>
      </c>
      <c r="N62" s="248"/>
      <c r="O62" s="4" t="s">
        <v>42</v>
      </c>
      <c r="P62" s="33">
        <v>6</v>
      </c>
      <c r="Q62" s="14">
        <f>Q$5*((1+'User Inputs'!$E$9)^$B61)+Q$4*((1+'User Inputs'!$E$12)^$B61)</f>
        <v>463622.59716150525</v>
      </c>
      <c r="R62" s="14">
        <f>R$5*((1+'User Inputs'!$E$9)^$B61)+R$4*((1+'User Inputs'!$E$12)^$B61)</f>
        <v>578958.93199252826</v>
      </c>
      <c r="S62" s="14">
        <f>S$5*((1+'User Inputs'!$E$9)^$B61)+S$4*((1+'User Inputs'!$E$12)^$B61)</f>
        <v>788810.70827143406</v>
      </c>
      <c r="T62" s="14">
        <f>T$5*((1+'User Inputs'!$E$9)^$B61)+T$4*((1+'User Inputs'!$E$12)^$B61)</f>
        <v>1961493.374077962</v>
      </c>
    </row>
    <row r="63" spans="1:20" x14ac:dyDescent="0.25">
      <c r="A63" s="4" t="s">
        <v>42</v>
      </c>
      <c r="B63" s="33">
        <v>7</v>
      </c>
      <c r="C63" s="14">
        <f>C$5*((1+'User Inputs'!$E$9)^$B62)+C$4*((1+'User Inputs'!$E$12)^$B62)</f>
        <v>434910.58098280767</v>
      </c>
      <c r="D63" s="14">
        <f>D$5*((1+'User Inputs'!$E$9)^$B62)+D$4*((1+'User Inputs'!$E$12)^$B62)</f>
        <v>525880.10532070522</v>
      </c>
      <c r="E63" s="14">
        <f>E$5*((1+'User Inputs'!$E$9)^$B62)+E$4*((1+'User Inputs'!$E$12)^$B62)</f>
        <v>671536.37634103023</v>
      </c>
      <c r="F63" s="14">
        <f>F$5*((1+'User Inputs'!$E$9)^$B62)+F$4*((1+'User Inputs'!$E$12)^$B62)</f>
        <v>2116033.4888656884</v>
      </c>
      <c r="G63" s="248"/>
      <c r="H63" s="4" t="s">
        <v>42</v>
      </c>
      <c r="I63" s="33">
        <v>7</v>
      </c>
      <c r="J63" s="14">
        <f>J$5*((1+'User Inputs'!$E$9)^$B62)+J$4*((1+'User Inputs'!$E$12)^$B62)</f>
        <v>378100.91397667164</v>
      </c>
      <c r="K63" s="14">
        <f>K$5*((1+'User Inputs'!$E$9)^$B62)+K$4*((1+'User Inputs'!$E$12)^$B62)</f>
        <v>429600.31616806122</v>
      </c>
      <c r="L63" s="14">
        <f>L$5*((1+'User Inputs'!$E$9)^$B62)+L$4*((1+'User Inputs'!$E$12)^$B62)</f>
        <v>492678.15264592628</v>
      </c>
      <c r="M63" s="14">
        <f>M$5*((1+'User Inputs'!$E$9)^$B62)+M$4*((1+'User Inputs'!$E$12)^$B62)</f>
        <v>2090557.5431987827</v>
      </c>
      <c r="N63" s="248"/>
      <c r="O63" s="4" t="s">
        <v>42</v>
      </c>
      <c r="P63" s="33">
        <v>7</v>
      </c>
      <c r="Q63" s="14">
        <f>Q$5*((1+'User Inputs'!$E$9)^$B62)+Q$4*((1+'User Inputs'!$E$12)^$B62)</f>
        <v>491720.24798894365</v>
      </c>
      <c r="R63" s="14">
        <f>R$5*((1+'User Inputs'!$E$9)^$B62)+R$4*((1+'User Inputs'!$E$12)^$B62)</f>
        <v>622159.89447334909</v>
      </c>
      <c r="S63" s="14">
        <f>S$5*((1+'User Inputs'!$E$9)^$B62)+S$4*((1+'User Inputs'!$E$12)^$B62)</f>
        <v>850394.60003613413</v>
      </c>
      <c r="T63" s="14">
        <f>T$5*((1+'User Inputs'!$E$9)^$B62)+T$4*((1+'User Inputs'!$E$12)^$B62)</f>
        <v>2141509.4345325939</v>
      </c>
    </row>
    <row r="64" spans="1:20" x14ac:dyDescent="0.25">
      <c r="A64" s="4" t="s">
        <v>42</v>
      </c>
      <c r="B64" s="33">
        <v>8</v>
      </c>
      <c r="C64" s="14">
        <f>C$5*((1+'User Inputs'!$E$9)^$B63)+C$4*((1+'User Inputs'!$E$12)^$B63)</f>
        <v>459771.73801460193</v>
      </c>
      <c r="D64" s="14">
        <f>D$5*((1+'User Inputs'!$E$9)^$B63)+D$4*((1+'User Inputs'!$E$12)^$B63)</f>
        <v>563479.28651997494</v>
      </c>
      <c r="E64" s="14">
        <f>E$5*((1+'User Inputs'!$E$9)^$B63)+E$4*((1+'User Inputs'!$E$12)^$B63)</f>
        <v>721046.89133144089</v>
      </c>
      <c r="F64" s="14">
        <f>F$5*((1+'User Inputs'!$E$9)^$B63)+F$4*((1+'User Inputs'!$E$12)^$B63)</f>
        <v>2311180.8952600299</v>
      </c>
      <c r="G64" s="248"/>
      <c r="H64" s="4" t="s">
        <v>42</v>
      </c>
      <c r="I64" s="33">
        <v>8</v>
      </c>
      <c r="J64" s="14">
        <f>J$5*((1+'User Inputs'!$E$9)^$B63)+J$4*((1+'User Inputs'!$E$12)^$B63)</f>
        <v>397281.10430785228</v>
      </c>
      <c r="K64" s="14">
        <f>K$5*((1+'User Inputs'!$E$9)^$B63)+K$4*((1+'User Inputs'!$E$12)^$B63)</f>
        <v>457571.5184520667</v>
      </c>
      <c r="L64" s="14">
        <f>L$5*((1+'User Inputs'!$E$9)^$B63)+L$4*((1+'User Inputs'!$E$12)^$B63)</f>
        <v>524302.84526682645</v>
      </c>
      <c r="M64" s="14">
        <f>M$5*((1+'User Inputs'!$E$9)^$B63)+M$4*((1+'User Inputs'!$E$12)^$B63)</f>
        <v>2283157.3550264337</v>
      </c>
      <c r="N64" s="248"/>
      <c r="O64" s="4" t="s">
        <v>42</v>
      </c>
      <c r="P64" s="33">
        <v>8</v>
      </c>
      <c r="Q64" s="14">
        <f>Q$5*((1+'User Inputs'!$E$9)^$B63)+Q$4*((1+'User Inputs'!$E$12)^$B63)</f>
        <v>522262.37172135152</v>
      </c>
      <c r="R64" s="14">
        <f>R$5*((1+'User Inputs'!$E$9)^$B63)+R$4*((1+'User Inputs'!$E$12)^$B63)</f>
        <v>669387.05458788329</v>
      </c>
      <c r="S64" s="14">
        <f>S$5*((1+'User Inputs'!$E$9)^$B63)+S$4*((1+'User Inputs'!$E$12)^$B63)</f>
        <v>917790.9373960552</v>
      </c>
      <c r="T64" s="14">
        <f>T$5*((1+'User Inputs'!$E$9)^$B63)+T$4*((1+'User Inputs'!$E$12)^$B63)</f>
        <v>2339204.4354936257</v>
      </c>
    </row>
    <row r="65" spans="1:20" x14ac:dyDescent="0.25">
      <c r="A65" s="4" t="s">
        <v>42</v>
      </c>
      <c r="B65" s="33">
        <v>9</v>
      </c>
      <c r="C65" s="14">
        <f>C$5*((1+'User Inputs'!$E$9)^$B64)+C$4*((1+'User Inputs'!$E$12)^$B64)</f>
        <v>486746.41272824589</v>
      </c>
      <c r="D65" s="14">
        <f>D$5*((1+'User Inputs'!$E$9)^$B64)+D$4*((1+'User Inputs'!$E$12)^$B64)</f>
        <v>604538.60925251571</v>
      </c>
      <c r="E65" s="14">
        <f>E$5*((1+'User Inputs'!$E$9)^$B64)+E$4*((1+'User Inputs'!$E$12)^$B64)</f>
        <v>775155.59536801872</v>
      </c>
      <c r="F65" s="14">
        <f>F$5*((1+'User Inputs'!$E$9)^$B64)+F$4*((1+'User Inputs'!$E$12)^$B64)</f>
        <v>2525513.92344396</v>
      </c>
      <c r="G65" s="248"/>
      <c r="H65" s="4" t="s">
        <v>42</v>
      </c>
      <c r="I65" s="33">
        <v>9</v>
      </c>
      <c r="J65" s="14">
        <f>J$5*((1+'User Inputs'!$E$9)^$B64)+J$4*((1+'User Inputs'!$E$12)^$B64)</f>
        <v>418006.71565082134</v>
      </c>
      <c r="K65" s="14">
        <f>K$5*((1+'User Inputs'!$E$9)^$B64)+K$4*((1+'User Inputs'!$E$12)^$B64)</f>
        <v>488040.06437781663</v>
      </c>
      <c r="L65" s="14">
        <f>L$5*((1+'User Inputs'!$E$9)^$B64)+L$4*((1+'User Inputs'!$E$12)^$B64)</f>
        <v>558737.144696943</v>
      </c>
      <c r="M65" s="14">
        <f>M$5*((1+'User Inputs'!$E$9)^$B64)+M$4*((1+'User Inputs'!$E$12)^$B64)</f>
        <v>2494688.0291870041</v>
      </c>
      <c r="N65" s="248"/>
      <c r="O65" s="4" t="s">
        <v>42</v>
      </c>
      <c r="P65" s="33">
        <v>9</v>
      </c>
      <c r="Q65" s="14">
        <f>Q$5*((1+'User Inputs'!$E$9)^$B64)+Q$4*((1+'User Inputs'!$E$12)^$B64)</f>
        <v>555486.10980567045</v>
      </c>
      <c r="R65" s="14">
        <f>R$5*((1+'User Inputs'!$E$9)^$B64)+R$4*((1+'User Inputs'!$E$12)^$B64)</f>
        <v>721037.1541272148</v>
      </c>
      <c r="S65" s="14">
        <f>S$5*((1+'User Inputs'!$E$9)^$B64)+S$4*((1+'User Inputs'!$E$12)^$B64)</f>
        <v>991574.04603909457</v>
      </c>
      <c r="T65" s="14">
        <f>T$5*((1+'User Inputs'!$E$9)^$B64)+T$4*((1+'User Inputs'!$E$12)^$B64)</f>
        <v>2556339.817700916</v>
      </c>
    </row>
    <row r="66" spans="1:20" x14ac:dyDescent="0.25">
      <c r="A66" s="4" t="s">
        <v>42</v>
      </c>
      <c r="B66" s="33">
        <v>10</v>
      </c>
      <c r="C66" s="14">
        <f>C$5*((1+'User Inputs'!$E$9)^$B65)+C$4*((1+'User Inputs'!$E$12)^$B65)</f>
        <v>516038.50493149797</v>
      </c>
      <c r="D66" s="14">
        <f>D$5*((1+'User Inputs'!$E$9)^$B65)+D$4*((1+'User Inputs'!$E$12)^$B65)</f>
        <v>649398.09213992138</v>
      </c>
      <c r="E66" s="14">
        <f>E$5*((1+'User Inputs'!$E$9)^$B65)+E$4*((1+'User Inputs'!$E$12)^$B65)</f>
        <v>834315.25010632316</v>
      </c>
      <c r="F66" s="14">
        <f>F$5*((1+'User Inputs'!$E$9)^$B65)+F$4*((1+'User Inputs'!$E$12)^$B65)</f>
        <v>2760944.5532194432</v>
      </c>
      <c r="G66" s="248"/>
      <c r="H66" s="4" t="s">
        <v>42</v>
      </c>
      <c r="I66" s="33">
        <v>10</v>
      </c>
      <c r="J66" s="14">
        <f>J$5*((1+'User Inputs'!$E$9)^$B65)+J$4*((1+'User Inputs'!$E$12)^$B65)</f>
        <v>440424.83814633096</v>
      </c>
      <c r="K66" s="14">
        <f>K$5*((1+'User Inputs'!$E$9)^$B65)+K$4*((1+'User Inputs'!$E$12)^$B65)</f>
        <v>521249.69277775241</v>
      </c>
      <c r="L66" s="14">
        <f>L$5*((1+'User Inputs'!$E$9)^$B65)+L$4*((1+'User Inputs'!$E$12)^$B65)</f>
        <v>596254.95436813973</v>
      </c>
      <c r="M66" s="14">
        <f>M$5*((1+'User Inputs'!$E$9)^$B65)+M$4*((1+'User Inputs'!$E$12)^$B65)</f>
        <v>2727036.0695367912</v>
      </c>
      <c r="N66" s="248"/>
      <c r="O66" s="4" t="s">
        <v>42</v>
      </c>
      <c r="P66" s="33">
        <v>10</v>
      </c>
      <c r="Q66" s="14">
        <f>Q$5*((1+'User Inputs'!$E$9)^$B65)+Q$4*((1+'User Inputs'!$E$12)^$B65)</f>
        <v>591652.17171666503</v>
      </c>
      <c r="R66" s="14">
        <f>R$5*((1+'User Inputs'!$E$9)^$B65)+R$4*((1+'User Inputs'!$E$12)^$B65)</f>
        <v>777546.49150209059</v>
      </c>
      <c r="S66" s="14">
        <f>S$5*((1+'User Inputs'!$E$9)^$B65)+S$4*((1+'User Inputs'!$E$12)^$B65)</f>
        <v>1072375.5458445067</v>
      </c>
      <c r="T66" s="14">
        <f>T$5*((1+'User Inputs'!$E$9)^$B65)+T$4*((1+'User Inputs'!$E$12)^$B65)</f>
        <v>2794853.0369020943</v>
      </c>
    </row>
    <row r="67" spans="1:20" x14ac:dyDescent="0.25">
      <c r="A67" s="4" t="s">
        <v>42</v>
      </c>
      <c r="B67" s="33">
        <v>11</v>
      </c>
      <c r="C67" s="14">
        <f>C$5*((1+'User Inputs'!$E$9)^$B66)+C$4*((1+'User Inputs'!$E$12)^$B66)</f>
        <v>547872.1553736839</v>
      </c>
      <c r="D67" s="14">
        <f>D$5*((1+'User Inputs'!$E$9)^$B66)+D$4*((1+'User Inputs'!$E$12)^$B66)</f>
        <v>698431.63575531088</v>
      </c>
      <c r="E67" s="14">
        <f>E$5*((1+'User Inputs'!$E$9)^$B66)+E$4*((1+'User Inputs'!$E$12)^$B66)</f>
        <v>899023.75222248805</v>
      </c>
      <c r="F67" s="14">
        <f>F$5*((1+'User Inputs'!$E$9)^$B66)+F$4*((1+'User Inputs'!$E$12)^$B66)</f>
        <v>3019575.8307210952</v>
      </c>
      <c r="G67" s="248"/>
      <c r="H67" s="4" t="s">
        <v>42</v>
      </c>
      <c r="I67" s="33">
        <v>11</v>
      </c>
      <c r="J67" s="14">
        <f>J$5*((1+'User Inputs'!$E$9)^$B66)+J$4*((1+'User Inputs'!$E$12)^$B66)</f>
        <v>464697.1219100001</v>
      </c>
      <c r="K67" s="14">
        <f>K$5*((1+'User Inputs'!$E$9)^$B66)+K$4*((1+'User Inputs'!$E$12)^$B66)</f>
        <v>557468.39645692485</v>
      </c>
      <c r="L67" s="14">
        <f>L$5*((1+'User Inputs'!$E$9)^$B66)+L$4*((1+'User Inputs'!$E$12)^$B66)</f>
        <v>637157.42691048631</v>
      </c>
      <c r="M67" s="14">
        <f>M$5*((1+'User Inputs'!$E$9)^$B66)+M$4*((1+'User Inputs'!$E$12)^$B66)</f>
        <v>2982276.4986701785</v>
      </c>
      <c r="N67" s="248"/>
      <c r="O67" s="4" t="s">
        <v>42</v>
      </c>
      <c r="P67" s="33">
        <v>11</v>
      </c>
      <c r="Q67" s="14">
        <f>Q$5*((1+'User Inputs'!$E$9)^$B66)+Q$4*((1+'User Inputs'!$E$12)^$B66)</f>
        <v>631047.18883736769</v>
      </c>
      <c r="R67" s="14">
        <f>R$5*((1+'User Inputs'!$E$9)^$B66)+R$4*((1+'User Inputs'!$E$12)^$B66)</f>
        <v>839394.87505369692</v>
      </c>
      <c r="S67" s="14">
        <f>S$5*((1+'User Inputs'!$E$9)^$B66)+S$4*((1+'User Inputs'!$E$12)^$B66)</f>
        <v>1160890.0775344898</v>
      </c>
      <c r="T67" s="14">
        <f>T$5*((1+'User Inputs'!$E$9)^$B66)+T$4*((1+'User Inputs'!$E$12)^$B66)</f>
        <v>3056875.1627720115</v>
      </c>
    </row>
    <row r="68" spans="1:20" x14ac:dyDescent="0.25">
      <c r="A68" s="4" t="s">
        <v>42</v>
      </c>
      <c r="B68" s="33">
        <v>12</v>
      </c>
      <c r="C68" s="14">
        <f>C$5*((1+'User Inputs'!$E$9)^$B67)+C$4*((1+'User Inputs'!$E$12)^$B67)</f>
        <v>582493.766859069</v>
      </c>
      <c r="D68" s="14">
        <f>D$5*((1+'User Inputs'!$E$9)^$B67)+D$4*((1+'User Inputs'!$E$12)^$B67)</f>
        <v>752050.40842026717</v>
      </c>
      <c r="E68" s="14">
        <f>E$5*((1+'User Inputs'!$E$9)^$B67)+E$4*((1+'User Inputs'!$E$12)^$B67)</f>
        <v>969828.64409238007</v>
      </c>
      <c r="F68" s="14">
        <f>F$5*((1+'User Inputs'!$E$9)^$B67)+F$4*((1+'User Inputs'!$E$12)^$B67)</f>
        <v>3303720.9724165071</v>
      </c>
      <c r="G68" s="248"/>
      <c r="H68" s="4" t="s">
        <v>42</v>
      </c>
      <c r="I68" s="33">
        <v>12</v>
      </c>
      <c r="J68" s="14">
        <f>J$5*((1+'User Inputs'!$E$9)^$B67)+J$4*((1+'User Inputs'!$E$12)^$B67)</f>
        <v>491001.23004901689</v>
      </c>
      <c r="K68" s="14">
        <f>K$5*((1+'User Inputs'!$E$9)^$B67)+K$4*((1+'User Inputs'!$E$12)^$B67)</f>
        <v>596990.84519204253</v>
      </c>
      <c r="L68" s="14">
        <f>L$5*((1+'User Inputs'!$E$9)^$B67)+L$4*((1+'User Inputs'!$E$12)^$B67)</f>
        <v>681775.68624917814</v>
      </c>
      <c r="M68" s="14">
        <f>M$5*((1+'User Inputs'!$E$9)^$B67)+M$4*((1+'User Inputs'!$E$12)^$B67)</f>
        <v>3262691.7071604985</v>
      </c>
      <c r="N68" s="248"/>
      <c r="O68" s="4" t="s">
        <v>42</v>
      </c>
      <c r="P68" s="33">
        <v>12</v>
      </c>
      <c r="Q68" s="14">
        <f>Q$5*((1+'User Inputs'!$E$9)^$B67)+Q$4*((1+'User Inputs'!$E$12)^$B67)</f>
        <v>673986.30366912112</v>
      </c>
      <c r="R68" s="14">
        <f>R$5*((1+'User Inputs'!$E$9)^$B67)+R$4*((1+'User Inputs'!$E$12)^$B67)</f>
        <v>907109.9716484918</v>
      </c>
      <c r="S68" s="14">
        <f>S$5*((1+'User Inputs'!$E$9)^$B67)+S$4*((1+'User Inputs'!$E$12)^$B67)</f>
        <v>1257881.6019355822</v>
      </c>
      <c r="T68" s="14">
        <f>T$5*((1+'User Inputs'!$E$9)^$B67)+T$4*((1+'User Inputs'!$E$12)^$B67)</f>
        <v>3344750.2376725152</v>
      </c>
    </row>
    <row r="69" spans="1:20" x14ac:dyDescent="0.25">
      <c r="A69" s="4" t="s">
        <v>42</v>
      </c>
      <c r="B69" s="33">
        <v>13</v>
      </c>
      <c r="C69" s="14">
        <f>C$5*((1+'User Inputs'!$E$9)^$B68)+C$4*((1+'User Inputs'!$E$12)^$B68)</f>
        <v>620174.22741195303</v>
      </c>
      <c r="D69" s="14">
        <f>D$5*((1+'User Inputs'!$E$9)^$B68)+D$4*((1+'User Inputs'!$E$12)^$B68)</f>
        <v>810706.5705335075</v>
      </c>
      <c r="E69" s="14">
        <f>E$5*((1+'User Inputs'!$E$9)^$B68)+E$4*((1+'User Inputs'!$E$12)^$B68)</f>
        <v>1047332.0754822142</v>
      </c>
      <c r="F69" s="14">
        <f>F$5*((1+'User Inputs'!$E$9)^$B68)+F$4*((1+'User Inputs'!$E$12)^$B68)</f>
        <v>3615924.3794539263</v>
      </c>
      <c r="G69" s="248"/>
      <c r="H69" s="4" t="s">
        <v>42</v>
      </c>
      <c r="I69" s="33">
        <v>13</v>
      </c>
      <c r="J69" s="14">
        <f>J$5*((1+'User Inputs'!$E$9)^$B68)+J$4*((1+'User Inputs'!$E$12)^$B68)</f>
        <v>519532.43692089571</v>
      </c>
      <c r="K69" s="14">
        <f>K$5*((1+'User Inputs'!$E$9)^$B68)+K$4*((1+'User Inputs'!$E$12)^$B68)</f>
        <v>640141.05098246038</v>
      </c>
      <c r="L69" s="14">
        <f>L$5*((1+'User Inputs'!$E$9)^$B68)+L$4*((1+'User Inputs'!$E$12)^$B68)</f>
        <v>730473.82185469207</v>
      </c>
      <c r="M69" s="14">
        <f>M$5*((1+'User Inputs'!$E$9)^$B68)+M$4*((1+'User Inputs'!$E$12)^$B68)</f>
        <v>3570792.187672317</v>
      </c>
      <c r="N69" s="248"/>
      <c r="O69" s="4" t="s">
        <v>42</v>
      </c>
      <c r="P69" s="33">
        <v>13</v>
      </c>
      <c r="Q69" s="14">
        <f>Q$5*((1+'User Inputs'!$E$9)^$B68)+Q$4*((1+'User Inputs'!$E$12)^$B68)</f>
        <v>720816.01790301036</v>
      </c>
      <c r="R69" s="14">
        <f>R$5*((1+'User Inputs'!$E$9)^$B68)+R$4*((1+'User Inputs'!$E$12)^$B68)</f>
        <v>981272.09008455463</v>
      </c>
      <c r="S69" s="14">
        <f>S$5*((1+'User Inputs'!$E$9)^$B68)+S$4*((1+'User Inputs'!$E$12)^$B68)</f>
        <v>1364190.3291097363</v>
      </c>
      <c r="T69" s="14">
        <f>T$5*((1+'User Inputs'!$E$9)^$B68)+T$4*((1+'User Inputs'!$E$12)^$B68)</f>
        <v>3661056.5712355347</v>
      </c>
    </row>
    <row r="70" spans="1:20" x14ac:dyDescent="0.25">
      <c r="A70" s="4" t="s">
        <v>42</v>
      </c>
      <c r="B70" s="33">
        <v>14</v>
      </c>
      <c r="C70" s="14">
        <f>C$5*((1+'User Inputs'!$E$9)^$B69)+C$4*((1+'User Inputs'!$E$12)^$B69)</f>
        <v>661211.35569746501</v>
      </c>
      <c r="D70" s="14">
        <f>D$5*((1+'User Inputs'!$E$9)^$B69)+D$4*((1+'User Inputs'!$E$12)^$B69)</f>
        <v>874897.37128349626</v>
      </c>
      <c r="E70" s="14">
        <f>E$5*((1+'User Inputs'!$E$9)^$B69)+E$4*((1+'User Inputs'!$E$12)^$B69)</f>
        <v>1132196.2613506436</v>
      </c>
      <c r="F70" s="14">
        <f>F$5*((1+'User Inputs'!$E$9)^$B69)+F$4*((1+'User Inputs'!$E$12)^$B69)</f>
        <v>3958984.7533910023</v>
      </c>
      <c r="G70" s="248"/>
      <c r="H70" s="4" t="s">
        <v>42</v>
      </c>
      <c r="I70" s="33">
        <v>14</v>
      </c>
      <c r="J70" s="14">
        <f>J$5*((1+'User Inputs'!$E$9)^$B69)+J$4*((1+'User Inputs'!$E$12)^$B69)</f>
        <v>550505.38615730195</v>
      </c>
      <c r="K70" s="14">
        <f>K$5*((1+'User Inputs'!$E$9)^$B69)+K$4*((1+'User Inputs'!$E$12)^$B69)</f>
        <v>687275.29977734445</v>
      </c>
      <c r="L70" s="14">
        <f>L$5*((1+'User Inputs'!$E$9)^$B69)+L$4*((1+'User Inputs'!$E$12)^$B69)</f>
        <v>783652.18236036925</v>
      </c>
      <c r="M70" s="14">
        <f>M$5*((1+'User Inputs'!$E$9)^$B69)+M$4*((1+'User Inputs'!$E$12)^$B69)</f>
        <v>3909339.3424312319</v>
      </c>
      <c r="N70" s="248"/>
      <c r="O70" s="4" t="s">
        <v>42</v>
      </c>
      <c r="P70" s="33">
        <v>14</v>
      </c>
      <c r="Q70" s="14">
        <f>Q$5*((1+'User Inputs'!$E$9)^$B69)+Q$4*((1+'User Inputs'!$E$12)^$B69)</f>
        <v>771917.32523762807</v>
      </c>
      <c r="R70" s="14">
        <f>R$5*((1+'User Inputs'!$E$9)^$B69)+R$4*((1+'User Inputs'!$E$12)^$B69)</f>
        <v>1062519.442789648</v>
      </c>
      <c r="S70" s="14">
        <f>S$5*((1+'User Inputs'!$E$9)^$B69)+S$4*((1+'User Inputs'!$E$12)^$B69)</f>
        <v>1480740.3403409182</v>
      </c>
      <c r="T70" s="14">
        <f>T$5*((1+'User Inputs'!$E$9)^$B69)+T$4*((1+'User Inputs'!$E$12)^$B69)</f>
        <v>4008630.1643507718</v>
      </c>
    </row>
    <row r="71" spans="1:20" x14ac:dyDescent="0.25">
      <c r="A71" s="4" t="s">
        <v>42</v>
      </c>
      <c r="B71" s="33">
        <v>15</v>
      </c>
      <c r="C71" s="14">
        <f>C$5*((1+'User Inputs'!$E$9)^$B70)+C$4*((1+'User Inputs'!$E$12)^$B70)</f>
        <v>705932.59092241456</v>
      </c>
      <c r="D71" s="14">
        <f>D$5*((1+'User Inputs'!$E$9)^$B70)+D$4*((1+'User Inputs'!$E$12)^$B70)</f>
        <v>945169.65498241666</v>
      </c>
      <c r="E71" s="14">
        <f>E$5*((1+'User Inputs'!$E$9)^$B70)+E$4*((1+'User Inputs'!$E$12)^$B70)</f>
        <v>1225149.4853723203</v>
      </c>
      <c r="F71" s="14">
        <f>F$5*((1+'User Inputs'!$E$9)^$B70)+F$4*((1+'User Inputs'!$E$12)^$B70)</f>
        <v>4335980.5234416211</v>
      </c>
      <c r="G71" s="248"/>
      <c r="H71" s="4" t="s">
        <v>42</v>
      </c>
      <c r="I71" s="33">
        <v>15</v>
      </c>
      <c r="J71" s="14">
        <f>J$5*((1+'User Inputs'!$E$9)^$B70)+J$4*((1+'User Inputs'!$E$12)^$B70)</f>
        <v>584156.02442823513</v>
      </c>
      <c r="K71" s="14">
        <f>K$5*((1+'User Inputs'!$E$9)^$B70)+K$4*((1+'User Inputs'!$E$12)^$B70)</f>
        <v>738785.37632564967</v>
      </c>
      <c r="L71" s="14">
        <f>L$5*((1+'User Inputs'!$E$9)^$B70)+L$4*((1+'User Inputs'!$E$12)^$B70)</f>
        <v>841750.99848301837</v>
      </c>
      <c r="M71" s="14">
        <f>M$5*((1+'User Inputs'!$E$9)^$B70)+M$4*((1+'User Inputs'!$E$12)^$B70)</f>
        <v>4281370.5713858735</v>
      </c>
      <c r="N71" s="248"/>
      <c r="O71" s="4" t="s">
        <v>42</v>
      </c>
      <c r="P71" s="33">
        <v>15</v>
      </c>
      <c r="Q71" s="14">
        <f>Q$5*((1+'User Inputs'!$E$9)^$B70)+Q$4*((1+'User Inputs'!$E$12)^$B70)</f>
        <v>827709.15741659398</v>
      </c>
      <c r="R71" s="14">
        <f>R$5*((1+'User Inputs'!$E$9)^$B70)+R$4*((1+'User Inputs'!$E$12)^$B70)</f>
        <v>1151553.9336391836</v>
      </c>
      <c r="S71" s="14">
        <f>S$5*((1+'User Inputs'!$E$9)^$B70)+S$4*((1+'User Inputs'!$E$12)^$B70)</f>
        <v>1608547.9722616221</v>
      </c>
      <c r="T71" s="14">
        <f>T$5*((1+'User Inputs'!$E$9)^$B70)+T$4*((1+'User Inputs'!$E$12)^$B70)</f>
        <v>4390590.4754973669</v>
      </c>
    </row>
    <row r="72" spans="1:20" x14ac:dyDescent="0.25">
      <c r="A72" s="4" t="s">
        <v>42</v>
      </c>
      <c r="B72" s="33">
        <v>16</v>
      </c>
      <c r="C72" s="14">
        <f>C$5*((1+'User Inputs'!$E$9)^$B71)+C$4*((1+'User Inputs'!$E$12)^$B71)</f>
        <v>754697.95166296302</v>
      </c>
      <c r="D72" s="14">
        <f>D$5*((1+'User Inputs'!$E$9)^$B71)+D$4*((1+'User Inputs'!$E$12)^$B71)</f>
        <v>1022124.8179826404</v>
      </c>
      <c r="E72" s="14">
        <f>E$5*((1+'User Inputs'!$E$9)^$B71)+E$4*((1+'User Inputs'!$E$12)^$B71)</f>
        <v>1326992.7037538965</v>
      </c>
      <c r="F72" s="14">
        <f>F$5*((1+'User Inputs'!$E$9)^$B71)+F$4*((1+'User Inputs'!$E$12)^$B71)</f>
        <v>4750297.8163915304</v>
      </c>
      <c r="G72" s="104"/>
      <c r="H72" s="4" t="s">
        <v>42</v>
      </c>
      <c r="I72" s="33">
        <v>16</v>
      </c>
      <c r="J72" s="14">
        <f>J$5*((1+'User Inputs'!$E$9)^$B71)+J$4*((1+'User Inputs'!$E$12)^$B71)</f>
        <v>620743.72851936566</v>
      </c>
      <c r="K72" s="14">
        <f>K$5*((1+'User Inputs'!$E$9)^$B71)+K$4*((1+'User Inputs'!$E$12)^$B71)</f>
        <v>795102.11146019679</v>
      </c>
      <c r="L72" s="14">
        <f>L$5*((1+'User Inputs'!$E$9)^$B71)+L$4*((1+'User Inputs'!$E$12)^$B71)</f>
        <v>905254.36817566445</v>
      </c>
      <c r="M72" s="14">
        <f>M$5*((1+'User Inputs'!$E$9)^$B71)+M$4*((1+'User Inputs'!$E$12)^$B71)</f>
        <v>4690226.8691302082</v>
      </c>
      <c r="N72" s="248"/>
      <c r="O72" s="4" t="s">
        <v>42</v>
      </c>
      <c r="P72" s="33">
        <v>16</v>
      </c>
      <c r="Q72" s="14">
        <f>Q$5*((1+'User Inputs'!$E$9)^$B71)+Q$4*((1+'User Inputs'!$E$12)^$B71)</f>
        <v>888652.17480656039</v>
      </c>
      <c r="R72" s="14">
        <f>R$5*((1+'User Inputs'!$E$9)^$B71)+R$4*((1+'User Inputs'!$E$12)^$B71)</f>
        <v>1249147.5245050841</v>
      </c>
      <c r="S72" s="14">
        <f>S$5*((1+'User Inputs'!$E$9)^$B71)+S$4*((1+'User Inputs'!$E$12)^$B71)</f>
        <v>1748731.0393321286</v>
      </c>
      <c r="T72" s="14">
        <f>T$5*((1+'User Inputs'!$E$9)^$B71)+T$4*((1+'User Inputs'!$E$12)^$B71)</f>
        <v>4810368.7636528509</v>
      </c>
    </row>
    <row r="73" spans="1:20" x14ac:dyDescent="0.25">
      <c r="A73" s="4" t="s">
        <v>42</v>
      </c>
      <c r="B73" s="33">
        <v>17</v>
      </c>
      <c r="C73" s="14">
        <f>C$5*((1+'User Inputs'!$E$9)^$B72)+C$4*((1+'User Inputs'!$E$12)^$B72)</f>
        <v>807903.29051053245</v>
      </c>
      <c r="D73" s="14">
        <f>D$5*((1+'User Inputs'!$E$9)^$B72)+D$4*((1+'User Inputs'!$E$12)^$B72)</f>
        <v>1106424.2612329263</v>
      </c>
      <c r="E73" s="14">
        <f>E$5*((1+'User Inputs'!$E$9)^$B72)+E$4*((1+'User Inputs'!$E$12)^$B72)</f>
        <v>1438606.8093705177</v>
      </c>
      <c r="F73" s="14">
        <f>F$5*((1+'User Inputs'!$E$9)^$B72)+F$4*((1+'User Inputs'!$E$12)^$B72)</f>
        <v>5205661.2234485457</v>
      </c>
      <c r="G73" s="104"/>
      <c r="H73" s="4" t="s">
        <v>42</v>
      </c>
      <c r="I73" s="33">
        <v>17</v>
      </c>
      <c r="J73" s="14">
        <f>J$5*((1+'User Inputs'!$E$9)^$B72)+J$4*((1+'User Inputs'!$E$12)^$B72)</f>
        <v>660553.64505257539</v>
      </c>
      <c r="K73" s="14">
        <f>K$5*((1+'User Inputs'!$E$9)^$B72)+K$4*((1+'User Inputs'!$E$12)^$B72)</f>
        <v>856699.28405823826</v>
      </c>
      <c r="L73" s="14">
        <f>L$5*((1+'User Inputs'!$E$9)^$B72)+L$4*((1+'User Inputs'!$E$12)^$B72)</f>
        <v>974694.64023446222</v>
      </c>
      <c r="M73" s="14">
        <f>M$5*((1+'User Inputs'!$E$9)^$B72)+M$4*((1+'User Inputs'!$E$12)^$B72)</f>
        <v>5139583.1814610912</v>
      </c>
      <c r="N73" s="248"/>
      <c r="O73" s="4" t="s">
        <v>42</v>
      </c>
      <c r="P73" s="33">
        <v>17</v>
      </c>
      <c r="Q73" s="14">
        <f>Q$5*((1+'User Inputs'!$E$9)^$B72)+Q$4*((1+'User Inputs'!$E$12)^$B72)</f>
        <v>955252.93596848962</v>
      </c>
      <c r="R73" s="14">
        <f>R$5*((1+'User Inputs'!$E$9)^$B72)+R$4*((1+'User Inputs'!$E$12)^$B72)</f>
        <v>1356149.2384076144</v>
      </c>
      <c r="S73" s="14">
        <f>S$5*((1+'User Inputs'!$E$9)^$B72)+S$4*((1+'User Inputs'!$E$12)^$B72)</f>
        <v>1902518.978506573</v>
      </c>
      <c r="T73" s="14">
        <f>T$5*((1+'User Inputs'!$E$9)^$B72)+T$4*((1+'User Inputs'!$E$12)^$B72)</f>
        <v>5271739.2654359993</v>
      </c>
    </row>
    <row r="74" spans="1:20" x14ac:dyDescent="0.25">
      <c r="A74" s="4" t="s">
        <v>42</v>
      </c>
      <c r="B74" s="33">
        <v>18</v>
      </c>
      <c r="C74" s="14">
        <f>C$5*((1+'User Inputs'!$E$9)^$B73)+C$4*((1+'User Inputs'!$E$12)^$B73)</f>
        <v>865983.87411648443</v>
      </c>
      <c r="D74" s="14">
        <f>D$5*((1+'User Inputs'!$E$9)^$B73)+D$4*((1+'User Inputs'!$E$12)^$B73)</f>
        <v>1198795.3880372811</v>
      </c>
      <c r="E74" s="14">
        <f>E$5*((1+'User Inputs'!$E$9)^$B73)+E$4*((1+'User Inputs'!$E$12)^$B73)</f>
        <v>1560960.6222536252</v>
      </c>
      <c r="F74" s="14">
        <f>F$5*((1+'User Inputs'!$E$9)^$B73)+F$4*((1+'User Inputs'!$E$12)^$B73)</f>
        <v>5706167.6437196201</v>
      </c>
      <c r="G74" s="104"/>
      <c r="H74" s="4" t="s">
        <v>42</v>
      </c>
      <c r="I74" s="33">
        <v>18</v>
      </c>
      <c r="J74" s="14">
        <f>J$5*((1+'User Inputs'!$E$9)^$B73)+J$4*((1+'User Inputs'!$E$12)^$B73)</f>
        <v>703899.26411273156</v>
      </c>
      <c r="K74" s="14">
        <f>K$5*((1+'User Inputs'!$E$9)^$B73)+K$4*((1+'User Inputs'!$E$12)^$B73)</f>
        <v>924097.91314512421</v>
      </c>
      <c r="L74" s="14">
        <f>L$5*((1+'User Inputs'!$E$9)^$B73)+L$4*((1+'User Inputs'!$E$12)^$B73)</f>
        <v>1050657.2362039643</v>
      </c>
      <c r="M74" s="14">
        <f>M$5*((1+'User Inputs'!$E$9)^$B73)+M$4*((1+'User Inputs'!$E$12)^$B73)</f>
        <v>5633481.7975334199</v>
      </c>
      <c r="N74" s="248"/>
      <c r="O74" s="4" t="s">
        <v>42</v>
      </c>
      <c r="P74" s="33">
        <v>18</v>
      </c>
      <c r="Q74" s="14">
        <f>Q$5*((1+'User Inputs'!$E$9)^$B73)+Q$4*((1+'User Inputs'!$E$12)^$B73)</f>
        <v>1028068.4841202373</v>
      </c>
      <c r="R74" s="14">
        <f>R$5*((1+'User Inputs'!$E$9)^$B73)+R$4*((1+'User Inputs'!$E$12)^$B73)</f>
        <v>1473492.862929438</v>
      </c>
      <c r="S74" s="14">
        <f>S$5*((1+'User Inputs'!$E$9)^$B73)+S$4*((1+'User Inputs'!$E$12)^$B73)</f>
        <v>2071264.0083032863</v>
      </c>
      <c r="T74" s="14">
        <f>T$5*((1+'User Inputs'!$E$9)^$B73)+T$4*((1+'User Inputs'!$E$12)^$B73)</f>
        <v>5778853.4899058184</v>
      </c>
    </row>
    <row r="75" spans="1:20" x14ac:dyDescent="0.25">
      <c r="A75" s="4" t="s">
        <v>42</v>
      </c>
      <c r="B75" s="33">
        <v>19</v>
      </c>
      <c r="C75" s="14">
        <f>C$5*((1+'User Inputs'!$E$9)^$B74)+C$4*((1+'User Inputs'!$E$12)^$B74)</f>
        <v>929418.32117412949</v>
      </c>
      <c r="D75" s="14">
        <f>D$5*((1+'User Inputs'!$E$9)^$B74)+D$4*((1+'User Inputs'!$E$12)^$B74)</f>
        <v>1300038.2015356927</v>
      </c>
      <c r="E75" s="14">
        <f>E$5*((1+'User Inputs'!$E$9)^$B74)+E$4*((1+'User Inputs'!$E$12)^$B74)</f>
        <v>1695119.6790639646</v>
      </c>
      <c r="F75" s="14">
        <f>F$5*((1+'User Inputs'!$E$9)^$B74)+F$4*((1+'User Inputs'!$E$12)^$B74)</f>
        <v>6256323.5119763268</v>
      </c>
      <c r="G75" s="104"/>
      <c r="H75" s="4" t="s">
        <v>42</v>
      </c>
      <c r="I75" s="33">
        <v>19</v>
      </c>
      <c r="J75" s="14">
        <f>J$5*((1+'User Inputs'!$E$9)^$B74)+J$4*((1+'User Inputs'!$E$12)^$B74)</f>
        <v>751125.25017000129</v>
      </c>
      <c r="K75" s="14">
        <f>K$5*((1+'User Inputs'!$E$9)^$B74)+K$4*((1+'User Inputs'!$E$12)^$B74)</f>
        <v>997870.97915431997</v>
      </c>
      <c r="L75" s="14">
        <f>L$5*((1+'User Inputs'!$E$9)^$B74)+L$4*((1+'User Inputs'!$E$12)^$B74)</f>
        <v>1133785.9544093378</v>
      </c>
      <c r="M75" s="14">
        <f>M$5*((1+'User Inputs'!$E$9)^$B74)+M$4*((1+'User Inputs'!$E$12)^$B74)</f>
        <v>6176369.081171507</v>
      </c>
      <c r="N75" s="248"/>
      <c r="O75" s="4" t="s">
        <v>42</v>
      </c>
      <c r="P75" s="33">
        <v>19</v>
      </c>
      <c r="Q75" s="14">
        <f>Q$5*((1+'User Inputs'!$E$9)^$B74)+Q$4*((1+'User Inputs'!$E$12)^$B74)</f>
        <v>1107711.3921782575</v>
      </c>
      <c r="R75" s="14">
        <f>R$5*((1+'User Inputs'!$E$9)^$B74)+R$4*((1+'User Inputs'!$E$12)^$B74)</f>
        <v>1602205.4239170654</v>
      </c>
      <c r="S75" s="14">
        <f>S$5*((1+'User Inputs'!$E$9)^$B74)+S$4*((1+'User Inputs'!$E$12)^$B74)</f>
        <v>2256453.4037185921</v>
      </c>
      <c r="T75" s="14">
        <f>T$5*((1+'User Inputs'!$E$9)^$B74)+T$4*((1+'User Inputs'!$E$12)^$B74)</f>
        <v>6336277.9427811457</v>
      </c>
    </row>
    <row r="76" spans="1:20" x14ac:dyDescent="0.25">
      <c r="A76" s="4" t="s">
        <v>42</v>
      </c>
      <c r="B76" s="33">
        <v>20</v>
      </c>
      <c r="C76" s="14">
        <f>C$5*((1+'User Inputs'!$E$9)^$B75)+C$4*((1+'User Inputs'!$E$12)^$B75)</f>
        <v>998732.93413045909</v>
      </c>
      <c r="D76" s="14">
        <f>D$5*((1+'User Inputs'!$E$9)^$B75)+D$4*((1+'User Inputs'!$E$12)^$B75)</f>
        <v>1411032.5618778393</v>
      </c>
      <c r="E76" s="14">
        <f>E$5*((1+'User Inputs'!$E$9)^$B75)+E$4*((1+'User Inputs'!$E$12)^$B75)</f>
        <v>1842255.9014470384</v>
      </c>
      <c r="F76" s="14">
        <f>F$5*((1+'User Inputs'!$E$9)^$B75)+F$4*((1+'User Inputs'!$E$12)^$B75)</f>
        <v>6861085.7491363995</v>
      </c>
      <c r="G76" s="104"/>
      <c r="H76" s="4" t="s">
        <v>42</v>
      </c>
      <c r="I76" s="33">
        <v>20</v>
      </c>
      <c r="J76" s="14">
        <f>J$5*((1+'User Inputs'!$E$9)^$B75)+J$4*((1+'User Inputs'!$E$12)^$B75)</f>
        <v>802610.55602591811</v>
      </c>
      <c r="K76" s="14">
        <f>K$5*((1+'User Inputs'!$E$9)^$B75)+K$4*((1+'User Inputs'!$E$12)^$B75)</f>
        <v>1078648.6172583294</v>
      </c>
      <c r="L76" s="14">
        <f>L$5*((1+'User Inputs'!$E$9)^$B75)+L$4*((1+'User Inputs'!$E$12)^$B75)</f>
        <v>1224788.8043269485</v>
      </c>
      <c r="M76" s="14">
        <f>M$5*((1+'User Inputs'!$E$9)^$B75)+M$4*((1+'User Inputs'!$E$12)^$B75)</f>
        <v>6773135.8752510976</v>
      </c>
      <c r="N76" s="248"/>
      <c r="O76" s="4" t="s">
        <v>42</v>
      </c>
      <c r="P76" s="33">
        <v>20</v>
      </c>
      <c r="Q76" s="14">
        <f>Q$5*((1+'User Inputs'!$E$9)^$B75)+Q$4*((1+'User Inputs'!$E$12)^$B75)</f>
        <v>1194855.3122350001</v>
      </c>
      <c r="R76" s="14">
        <f>R$5*((1+'User Inputs'!$E$9)^$B75)+R$4*((1+'User Inputs'!$E$12)^$B75)</f>
        <v>1743416.5064973491</v>
      </c>
      <c r="S76" s="14">
        <f>S$5*((1+'User Inputs'!$E$9)^$B75)+S$4*((1+'User Inputs'!$E$12)^$B75)</f>
        <v>2459722.9985671281</v>
      </c>
      <c r="T76" s="14">
        <f>T$5*((1+'User Inputs'!$E$9)^$B75)+T$4*((1+'User Inputs'!$E$12)^$B75)</f>
        <v>6949035.6230216995</v>
      </c>
    </row>
    <row r="77" spans="1:20" x14ac:dyDescent="0.25">
      <c r="A77" s="4" t="s">
        <v>42</v>
      </c>
      <c r="B77" s="33">
        <v>21</v>
      </c>
      <c r="C77" s="14">
        <f>C$5*((1+'User Inputs'!$E$9)^$B76)+C$4*((1+'User Inputs'!$E$12)^$B76)</f>
        <v>1074506.4639991997</v>
      </c>
      <c r="D77" s="14">
        <f>D$5*((1+'User Inputs'!$E$9)^$B76)+D$4*((1+'User Inputs'!$E$12)^$B76)</f>
        <v>1532746.1690579718</v>
      </c>
      <c r="E77" s="14">
        <f>E$5*((1+'User Inputs'!$E$9)^$B76)+E$4*((1+'User Inputs'!$E$12)^$B76)</f>
        <v>2003658.231157952</v>
      </c>
      <c r="F77" s="14">
        <f>F$5*((1+'User Inputs'!$E$9)^$B76)+F$4*((1+'User Inputs'!$E$12)^$B76)</f>
        <v>7525906.8077317271</v>
      </c>
      <c r="G77" s="104"/>
      <c r="H77" s="4" t="s">
        <v>42</v>
      </c>
      <c r="I77" s="33">
        <v>21</v>
      </c>
      <c r="J77" s="14">
        <f>J$5*((1+'User Inputs'!$E$9)^$B76)+J$4*((1+'User Inputs'!$E$12)^$B76)</f>
        <v>858771.84808420471</v>
      </c>
      <c r="K77" s="14">
        <f>K$5*((1+'User Inputs'!$E$9)^$B76)+K$4*((1+'User Inputs'!$E$12)^$B76)</f>
        <v>1167123.8299765107</v>
      </c>
      <c r="L77" s="14">
        <f>L$5*((1+'User Inputs'!$E$9)^$B76)+L$4*((1+'User Inputs'!$E$12)^$B76)</f>
        <v>1324444.4243258534</v>
      </c>
      <c r="M77" s="14">
        <f>M$5*((1+'User Inputs'!$E$9)^$B76)+M$4*((1+'User Inputs'!$E$12)^$B76)</f>
        <v>7429161.9464578955</v>
      </c>
      <c r="N77" s="248"/>
      <c r="O77" s="4" t="s">
        <v>42</v>
      </c>
      <c r="P77" s="33">
        <v>21</v>
      </c>
      <c r="Q77" s="14">
        <f>Q$5*((1+'User Inputs'!$E$9)^$B76)+Q$4*((1+'User Inputs'!$E$12)^$B76)</f>
        <v>1290241.079914195</v>
      </c>
      <c r="R77" s="14">
        <f>R$5*((1+'User Inputs'!$E$9)^$B76)+R$4*((1+'User Inputs'!$E$12)^$B76)</f>
        <v>1898368.5081394326</v>
      </c>
      <c r="S77" s="14">
        <f>S$5*((1+'User Inputs'!$E$9)^$B76)+S$4*((1+'User Inputs'!$E$12)^$B76)</f>
        <v>2682872.0379900509</v>
      </c>
      <c r="T77" s="14">
        <f>T$5*((1+'User Inputs'!$E$9)^$B76)+T$4*((1+'User Inputs'!$E$12)^$B76)</f>
        <v>7622651.6690055579</v>
      </c>
    </row>
    <row r="78" spans="1:20" x14ac:dyDescent="0.25">
      <c r="A78" s="4" t="s">
        <v>42</v>
      </c>
      <c r="B78" s="33">
        <v>22</v>
      </c>
      <c r="C78" s="14">
        <f>C$5*((1+'User Inputs'!$E$9)^$B77)+C$4*((1+'User Inputs'!$E$12)^$B77)</f>
        <v>1157375.3515839288</v>
      </c>
      <c r="D78" s="14">
        <f>D$5*((1+'User Inputs'!$E$9)^$B77)+D$4*((1+'User Inputs'!$E$12)^$B77)</f>
        <v>1666243.3439759647</v>
      </c>
      <c r="E78" s="14">
        <f>E$5*((1+'User Inputs'!$E$9)^$B77)+E$4*((1+'User Inputs'!$E$12)^$B77)</f>
        <v>2180744.3286312819</v>
      </c>
      <c r="F78" s="14">
        <f>F$5*((1+'User Inputs'!$E$9)^$B77)+F$4*((1+'User Inputs'!$E$12)^$B77)</f>
        <v>8256784.2218602225</v>
      </c>
      <c r="G78" s="104"/>
      <c r="H78" s="4" t="s">
        <v>42</v>
      </c>
      <c r="I78" s="33">
        <v>22</v>
      </c>
      <c r="J78" s="14">
        <f>J$5*((1+'User Inputs'!$E$9)^$B77)+J$4*((1+'User Inputs'!$E$12)^$B77)</f>
        <v>920067.27407743398</v>
      </c>
      <c r="K78" s="14">
        <f>K$5*((1+'User Inputs'!$E$9)^$B77)+K$4*((1+'User Inputs'!$E$12)^$B77)</f>
        <v>1264058.7709863577</v>
      </c>
      <c r="L78" s="14">
        <f>L$5*((1+'User Inputs'!$E$9)^$B77)+L$4*((1+'User Inputs'!$E$12)^$B77)</f>
        <v>1433609.141115973</v>
      </c>
      <c r="M78" s="14">
        <f>M$5*((1+'User Inputs'!$E$9)^$B77)+M$4*((1+'User Inputs'!$E$12)^$B77)</f>
        <v>8150364.8744590078</v>
      </c>
      <c r="N78" s="248"/>
      <c r="O78" s="4" t="s">
        <v>42</v>
      </c>
      <c r="P78" s="33">
        <v>22</v>
      </c>
      <c r="Q78" s="14">
        <f>Q$5*((1+'User Inputs'!$E$9)^$B77)+Q$4*((1+'User Inputs'!$E$12)^$B77)</f>
        <v>1394683.429090423</v>
      </c>
      <c r="R78" s="14">
        <f>R$5*((1+'User Inputs'!$E$9)^$B77)+R$4*((1+'User Inputs'!$E$12)^$B77)</f>
        <v>2068427.9169655717</v>
      </c>
      <c r="S78" s="14">
        <f>S$5*((1+'User Inputs'!$E$9)^$B77)+S$4*((1+'User Inputs'!$E$12)^$B77)</f>
        <v>2927879.5161465909</v>
      </c>
      <c r="T78" s="14">
        <f>T$5*((1+'User Inputs'!$E$9)^$B77)+T$4*((1+'User Inputs'!$E$12)^$B77)</f>
        <v>8363203.5692614354</v>
      </c>
    </row>
    <row r="79" spans="1:20" x14ac:dyDescent="0.25">
      <c r="A79" s="4" t="s">
        <v>42</v>
      </c>
      <c r="B79" s="33">
        <v>23</v>
      </c>
      <c r="C79" s="14">
        <f>C$5*((1+'User Inputs'!$E$9)^$B78)+C$4*((1+'User Inputs'!$E$12)^$B78)</f>
        <v>1248039.4927508268</v>
      </c>
      <c r="D79" s="14">
        <f>D$5*((1+'User Inputs'!$E$9)^$B78)+D$4*((1+'User Inputs'!$E$12)^$B78)</f>
        <v>1812694.6875460008</v>
      </c>
      <c r="E79" s="14">
        <f>E$5*((1+'User Inputs'!$E$9)^$B78)+E$4*((1+'User Inputs'!$E$12)^$B78)</f>
        <v>2375073.4413390951</v>
      </c>
      <c r="F79" s="14">
        <f>F$5*((1+'User Inputs'!$E$9)^$B78)+F$4*((1+'User Inputs'!$E$12)^$B78)</f>
        <v>9060315.1120686736</v>
      </c>
      <c r="G79" s="104"/>
      <c r="H79" s="4" t="s">
        <v>42</v>
      </c>
      <c r="I79" s="33">
        <v>23</v>
      </c>
      <c r="J79" s="14">
        <f>J$5*((1+'User Inputs'!$E$9)^$B78)+J$4*((1+'User Inputs'!$E$12)^$B78)</f>
        <v>987000.60749368253</v>
      </c>
      <c r="K79" s="14">
        <f>K$5*((1+'User Inputs'!$E$9)^$B78)+K$4*((1+'User Inputs'!$E$12)^$B78)</f>
        <v>1370291.657257433</v>
      </c>
      <c r="L79" s="14">
        <f>L$5*((1+'User Inputs'!$E$9)^$B78)+L$4*((1+'User Inputs'!$E$12)^$B78)</f>
        <v>1553224.7350722554</v>
      </c>
      <c r="M79" s="14">
        <f>M$5*((1+'User Inputs'!$E$9)^$B78)+M$4*((1+'User Inputs'!$E$12)^$B78)</f>
        <v>8943253.8299273364</v>
      </c>
      <c r="N79" s="248"/>
      <c r="O79" s="4" t="s">
        <v>42</v>
      </c>
      <c r="P79" s="33">
        <v>23</v>
      </c>
      <c r="Q79" s="14">
        <f>Q$5*((1+'User Inputs'!$E$9)^$B78)+Q$4*((1+'User Inputs'!$E$12)^$B78)</f>
        <v>1509078.3780079708</v>
      </c>
      <c r="R79" s="14">
        <f>R$5*((1+'User Inputs'!$E$9)^$B78)+R$4*((1+'User Inputs'!$E$12)^$B78)</f>
        <v>2255097.7178345686</v>
      </c>
      <c r="S79" s="14">
        <f>S$5*((1+'User Inputs'!$E$9)^$B78)+S$4*((1+'User Inputs'!$E$12)^$B78)</f>
        <v>3196922.1476059351</v>
      </c>
      <c r="T79" s="14">
        <f>T$5*((1+'User Inputs'!$E$9)^$B78)+T$4*((1+'User Inputs'!$E$12)^$B78)</f>
        <v>9177376.394210007</v>
      </c>
    </row>
    <row r="80" spans="1:20" x14ac:dyDescent="0.25">
      <c r="A80" s="4" t="s">
        <v>42</v>
      </c>
      <c r="B80" s="33">
        <v>24</v>
      </c>
      <c r="C80" s="14">
        <f>C$5*((1+'User Inputs'!$E$9)^$B79)+C$4*((1+'User Inputs'!$E$12)^$B79)</f>
        <v>1347268.5801545843</v>
      </c>
      <c r="D80" s="14">
        <f>D$5*((1+'User Inputs'!$E$9)^$B79)+D$4*((1+'User Inputs'!$E$12)^$B79)</f>
        <v>1973387.7056564894</v>
      </c>
      <c r="E80" s="14">
        <f>E$5*((1+'User Inputs'!$E$9)^$B79)+E$4*((1+'User Inputs'!$E$12)^$B79)</f>
        <v>2588360.5589145836</v>
      </c>
      <c r="F80" s="14">
        <f>F$5*((1+'User Inputs'!$E$9)^$B79)+F$4*((1+'User Inputs'!$E$12)^$B79)</f>
        <v>9943756.1406584177</v>
      </c>
      <c r="G80" s="104"/>
      <c r="H80" s="4" t="s">
        <v>42</v>
      </c>
      <c r="I80" s="33">
        <v>24</v>
      </c>
      <c r="J80" s="14">
        <f>J$5*((1+'User Inputs'!$E$9)^$B79)+J$4*((1+'User Inputs'!$E$12)^$B79)</f>
        <v>1060125.8063717256</v>
      </c>
      <c r="K80" s="14">
        <f>K$5*((1+'User Inputs'!$E$9)^$B79)+K$4*((1+'User Inputs'!$E$12)^$B79)</f>
        <v>1486744.3723390647</v>
      </c>
      <c r="L80" s="14">
        <f>L$5*((1+'User Inputs'!$E$9)^$B79)+L$4*((1+'User Inputs'!$E$12)^$B79)</f>
        <v>1684326.9820210598</v>
      </c>
      <c r="M80" s="14">
        <f>M$5*((1+'User Inputs'!$E$9)^$B79)+M$4*((1+'User Inputs'!$E$12)^$B79)</f>
        <v>9814988.7303029485</v>
      </c>
      <c r="N80" s="248"/>
      <c r="O80" s="4" t="s">
        <v>42</v>
      </c>
      <c r="P80" s="33">
        <v>24</v>
      </c>
      <c r="Q80" s="14">
        <f>Q$5*((1+'User Inputs'!$E$9)^$B79)+Q$4*((1+'User Inputs'!$E$12)^$B79)</f>
        <v>1634411.3539374429</v>
      </c>
      <c r="R80" s="14">
        <f>R$5*((1+'User Inputs'!$E$9)^$B79)+R$4*((1+'User Inputs'!$E$12)^$B79)</f>
        <v>2460031.038973914</v>
      </c>
      <c r="S80" s="14">
        <f>S$5*((1+'User Inputs'!$E$9)^$B79)+S$4*((1+'User Inputs'!$E$12)^$B79)</f>
        <v>3492394.1358081074</v>
      </c>
      <c r="T80" s="14">
        <f>T$5*((1+'User Inputs'!$E$9)^$B79)+T$4*((1+'User Inputs'!$E$12)^$B79)</f>
        <v>10072523.551013887</v>
      </c>
    </row>
    <row r="81" spans="1:20" x14ac:dyDescent="0.25">
      <c r="A81" s="4" t="s">
        <v>42</v>
      </c>
      <c r="B81" s="33">
        <v>25</v>
      </c>
      <c r="C81" s="14">
        <f>C$5*((1+'User Inputs'!$E$9)^$B80)+C$4*((1+'User Inputs'!$E$12)^$B80)</f>
        <v>1455909.0790612912</v>
      </c>
      <c r="D81" s="14">
        <f>D$5*((1+'User Inputs'!$E$9)^$B80)+D$4*((1+'User Inputs'!$E$12)^$B80)</f>
        <v>2149738.496565144</v>
      </c>
      <c r="E81" s="14">
        <f>E$5*((1+'User Inputs'!$E$9)^$B80)+E$4*((1+'User Inputs'!$E$12)^$B80)</f>
        <v>2822491.9837164516</v>
      </c>
      <c r="F81" s="14">
        <f>F$5*((1+'User Inputs'!$E$9)^$B80)+F$4*((1+'User Inputs'!$E$12)^$B80)</f>
        <v>10915089.462454792</v>
      </c>
      <c r="G81" s="104"/>
      <c r="H81" s="4" t="s">
        <v>42</v>
      </c>
      <c r="I81" s="33">
        <v>25</v>
      </c>
      <c r="J81" s="14">
        <f>J$5*((1+'User Inputs'!$E$9)^$B80)+J$4*((1+'User Inputs'!$E$12)^$B80)</f>
        <v>1140052.0279001468</v>
      </c>
      <c r="K81" s="14">
        <f>K$5*((1+'User Inputs'!$E$9)^$B80)+K$4*((1+'User Inputs'!$E$12)^$B80)</f>
        <v>1614430.8299159771</v>
      </c>
      <c r="L81" s="14">
        <f>L$5*((1+'User Inputs'!$E$9)^$B80)+L$4*((1+'User Inputs'!$E$12)^$B80)</f>
        <v>1828055.0491335758</v>
      </c>
      <c r="M81" s="14">
        <f>M$5*((1+'User Inputs'!$E$9)^$B80)+M$4*((1+'User Inputs'!$E$12)^$B80)</f>
        <v>10773445.311063776</v>
      </c>
      <c r="N81" s="248"/>
      <c r="O81" s="4" t="s">
        <v>42</v>
      </c>
      <c r="P81" s="33">
        <v>25</v>
      </c>
      <c r="Q81" s="14">
        <f>Q$5*((1+'User Inputs'!$E$9)^$B80)+Q$4*((1+'User Inputs'!$E$12)^$B80)</f>
        <v>1771766.1302224353</v>
      </c>
      <c r="R81" s="14">
        <f>R$5*((1+'User Inputs'!$E$9)^$B80)+R$4*((1+'User Inputs'!$E$12)^$B80)</f>
        <v>2685046.1632143115</v>
      </c>
      <c r="S81" s="14">
        <f>S$5*((1+'User Inputs'!$E$9)^$B80)+S$4*((1+'User Inputs'!$E$12)^$B80)</f>
        <v>3816928.9182993276</v>
      </c>
      <c r="T81" s="14">
        <f>T$5*((1+'User Inputs'!$E$9)^$B80)+T$4*((1+'User Inputs'!$E$12)^$B80)</f>
        <v>11056733.613845808</v>
      </c>
    </row>
    <row r="82" spans="1:20" x14ac:dyDescent="0.25">
      <c r="A82" s="4" t="s">
        <v>42</v>
      </c>
      <c r="B82" s="33">
        <v>26</v>
      </c>
      <c r="C82" s="14">
        <f>C$5*((1+'User Inputs'!$E$9)^$B81)+C$4*((1+'User Inputs'!$E$12)^$B81)</f>
        <v>1574891.900676494</v>
      </c>
      <c r="D82" s="14">
        <f>D$5*((1+'User Inputs'!$E$9)^$B81)+D$4*((1+'User Inputs'!$E$12)^$B81)</f>
        <v>2343304.6069715251</v>
      </c>
      <c r="E82" s="14">
        <f>E$5*((1+'User Inputs'!$E$9)^$B81)+E$4*((1+'User Inputs'!$E$12)^$B81)</f>
        <v>3079542.4583767159</v>
      </c>
      <c r="F82" s="14">
        <f>F$5*((1+'User Inputs'!$E$9)^$B81)+F$4*((1+'User Inputs'!$E$12)^$B81)</f>
        <v>11983095.27058542</v>
      </c>
      <c r="G82" s="104"/>
      <c r="H82" s="4" t="s">
        <v>42</v>
      </c>
      <c r="I82" s="33">
        <v>26</v>
      </c>
      <c r="J82" s="14">
        <f>J$5*((1+'User Inputs'!$E$9)^$B81)+J$4*((1+'User Inputs'!$E$12)^$B81)</f>
        <v>1227449.144399235</v>
      </c>
      <c r="K82" s="14">
        <f>K$5*((1+'User Inputs'!$E$9)^$B81)+K$4*((1+'User Inputs'!$E$12)^$B81)</f>
        <v>1754466.1736574413</v>
      </c>
      <c r="L82" s="14">
        <f>L$5*((1+'User Inputs'!$E$9)^$B81)+L$4*((1+'User Inputs'!$E$12)^$B81)</f>
        <v>1985661.8303355519</v>
      </c>
      <c r="M82" s="14">
        <f>M$5*((1+'User Inputs'!$E$9)^$B81)+M$4*((1+'User Inputs'!$E$12)^$B81)</f>
        <v>11827286.7040553</v>
      </c>
      <c r="N82" s="248"/>
      <c r="O82" s="4" t="s">
        <v>42</v>
      </c>
      <c r="P82" s="33">
        <v>26</v>
      </c>
      <c r="Q82" s="14">
        <f>Q$5*((1+'User Inputs'!$E$9)^$B81)+Q$4*((1+'User Inputs'!$E$12)^$B81)</f>
        <v>1922334.6569537527</v>
      </c>
      <c r="R82" s="14">
        <f>R$5*((1+'User Inputs'!$E$9)^$B81)+R$4*((1+'User Inputs'!$E$12)^$B81)</f>
        <v>2932143.0402856092</v>
      </c>
      <c r="S82" s="14">
        <f>S$5*((1+'User Inputs'!$E$9)^$B81)+S$4*((1+'User Inputs'!$E$12)^$B81)</f>
        <v>4173423.0864178799</v>
      </c>
      <c r="T82" s="14">
        <f>T$5*((1+'User Inputs'!$E$9)^$B81)+T$4*((1+'User Inputs'!$E$12)^$B81)</f>
        <v>12138903.837115536</v>
      </c>
    </row>
    <row r="83" spans="1:20" x14ac:dyDescent="0.25">
      <c r="A83" s="4" t="s">
        <v>42</v>
      </c>
      <c r="B83" s="33">
        <v>27</v>
      </c>
      <c r="C83" s="14">
        <f>C$5*((1+'User Inputs'!$E$9)^$B82)+C$4*((1+'User Inputs'!$E$12)^$B82)</f>
        <v>1705240.8427273985</v>
      </c>
      <c r="D83" s="14">
        <f>D$5*((1+'User Inputs'!$E$9)^$B82)+D$4*((1+'User Inputs'!$E$12)^$B82)</f>
        <v>2555799.1736335414</v>
      </c>
      <c r="E83" s="14">
        <f>E$5*((1+'User Inputs'!$E$9)^$B82)+E$4*((1+'User Inputs'!$E$12)^$B82)</f>
        <v>3361794.0060287784</v>
      </c>
      <c r="F83" s="14">
        <f>F$5*((1+'User Inputs'!$E$9)^$B82)+F$4*((1+'User Inputs'!$E$12)^$B82)</f>
        <v>13157431.596766809</v>
      </c>
      <c r="G83" s="104"/>
      <c r="H83" s="4" t="s">
        <v>42</v>
      </c>
      <c r="I83" s="33">
        <v>27</v>
      </c>
      <c r="J83" s="14">
        <f>J$5*((1+'User Inputs'!$E$9)^$B82)+J$4*((1+'User Inputs'!$E$12)^$B82)</f>
        <v>1323053.8108224138</v>
      </c>
      <c r="K83" s="14">
        <f>K$5*((1+'User Inputs'!$E$9)^$B82)+K$4*((1+'User Inputs'!$E$12)^$B82)</f>
        <v>1908076.8969880491</v>
      </c>
      <c r="L83" s="14">
        <f>L$5*((1+'User Inputs'!$E$9)^$B82)+L$4*((1+'User Inputs'!$E$12)^$B82)</f>
        <v>2158525.3151834984</v>
      </c>
      <c r="M83" s="14">
        <f>M$5*((1+'User Inputs'!$E$9)^$B82)+M$4*((1+'User Inputs'!$E$12)^$B82)</f>
        <v>12986042.173583679</v>
      </c>
      <c r="N83" s="248"/>
      <c r="O83" s="4" t="s">
        <v>42</v>
      </c>
      <c r="P83" s="33">
        <v>27</v>
      </c>
      <c r="Q83" s="14">
        <f>Q$5*((1+'User Inputs'!$E$9)^$B82)+Q$4*((1+'User Inputs'!$E$12)^$B82)</f>
        <v>2087427.8746323832</v>
      </c>
      <c r="R83" s="14">
        <f>R$5*((1+'User Inputs'!$E$9)^$B82)+R$4*((1+'User Inputs'!$E$12)^$B82)</f>
        <v>3203521.4502790337</v>
      </c>
      <c r="S83" s="14">
        <f>S$5*((1+'User Inputs'!$E$9)^$B82)+S$4*((1+'User Inputs'!$E$12)^$B82)</f>
        <v>4565062.6968740588</v>
      </c>
      <c r="T83" s="14">
        <f>T$5*((1+'User Inputs'!$E$9)^$B82)+T$4*((1+'User Inputs'!$E$12)^$B82)</f>
        <v>13328821.019949937</v>
      </c>
    </row>
    <row r="84" spans="1:20" x14ac:dyDescent="0.25">
      <c r="A84" s="4" t="s">
        <v>42</v>
      </c>
      <c r="B84" s="33">
        <v>28</v>
      </c>
      <c r="C84" s="14">
        <f>C$5*((1+'User Inputs'!$E$9)^$B83)+C$4*((1+'User Inputs'!$E$12)^$B83)</f>
        <v>1848081.8740230585</v>
      </c>
      <c r="D84" s="14">
        <f>D$5*((1+'User Inputs'!$E$9)^$B83)+D$4*((1+'User Inputs'!$E$12)^$B83)</f>
        <v>2789106.4790810565</v>
      </c>
      <c r="E84" s="14">
        <f>E$5*((1+'User Inputs'!$E$9)^$B83)+E$4*((1+'User Inputs'!$E$12)^$B83)</f>
        <v>3671756.6544823353</v>
      </c>
      <c r="F84" s="14">
        <f>F$5*((1+'User Inputs'!$E$9)^$B83)+F$4*((1+'User Inputs'!$E$12)^$B83)</f>
        <v>14448722.091548797</v>
      </c>
      <c r="G84" s="104"/>
      <c r="H84" s="4" t="s">
        <v>42</v>
      </c>
      <c r="I84" s="33">
        <v>28</v>
      </c>
      <c r="J84" s="14">
        <f>J$5*((1+'User Inputs'!$E$9)^$B83)+J$4*((1+'User Inputs'!$E$12)^$B83)</f>
        <v>1427676.1389275752</v>
      </c>
      <c r="K84" s="14">
        <f>K$5*((1+'User Inputs'!$E$9)^$B83)+K$4*((1+'User Inputs'!$E$12)^$B83)</f>
        <v>2076611.9747710151</v>
      </c>
      <c r="L84" s="14">
        <f>L$5*((1+'User Inputs'!$E$9)^$B83)+L$4*((1+'User Inputs'!$E$12)^$B83)</f>
        <v>2348161.0945525267</v>
      </c>
      <c r="M84" s="14">
        <f>M$5*((1+'User Inputs'!$E$9)^$B83)+M$4*((1+'User Inputs'!$E$12)^$B83)</f>
        <v>14260193.726047352</v>
      </c>
      <c r="N84" s="248"/>
      <c r="O84" s="4" t="s">
        <v>42</v>
      </c>
      <c r="P84" s="33">
        <v>28</v>
      </c>
      <c r="Q84" s="14">
        <f>Q$5*((1+'User Inputs'!$E$9)^$B83)+Q$4*((1+'User Inputs'!$E$12)^$B83)</f>
        <v>2268487.6091185417</v>
      </c>
      <c r="R84" s="14">
        <f>R$5*((1+'User Inputs'!$E$9)^$B83)+R$4*((1+'User Inputs'!$E$12)^$B83)</f>
        <v>3501600.9833910982</v>
      </c>
      <c r="S84" s="14">
        <f>S$5*((1+'User Inputs'!$E$9)^$B83)+S$4*((1+'User Inputs'!$E$12)^$B83)</f>
        <v>4995352.2144121435</v>
      </c>
      <c r="T84" s="14">
        <f>T$5*((1+'User Inputs'!$E$9)^$B83)+T$4*((1+'User Inputs'!$E$12)^$B83)</f>
        <v>14637250.457050238</v>
      </c>
    </row>
    <row r="85" spans="1:20" x14ac:dyDescent="0.25">
      <c r="A85" s="4" t="s">
        <v>42</v>
      </c>
      <c r="B85" s="33">
        <v>29</v>
      </c>
      <c r="C85" s="14">
        <f>C$5*((1+'User Inputs'!$E$9)^$B84)+C$4*((1+'User Inputs'!$E$12)^$B84)</f>
        <v>2004653.347388743</v>
      </c>
      <c r="D85" s="14">
        <f>D$5*((1+'User Inputs'!$E$9)^$B84)+D$4*((1+'User Inputs'!$E$12)^$B84)</f>
        <v>3045299.062835006</v>
      </c>
      <c r="E85" s="14">
        <f>E$5*((1+'User Inputs'!$E$9)^$B84)+E$4*((1+'User Inputs'!$E$12)^$B84)</f>
        <v>4012191.2327382611</v>
      </c>
      <c r="F85" s="14">
        <f>F$5*((1+'User Inputs'!$E$9)^$B84)+F$4*((1+'User Inputs'!$E$12)^$B84)</f>
        <v>15868652.582511088</v>
      </c>
      <c r="G85" s="104"/>
      <c r="H85" s="4" t="s">
        <v>42</v>
      </c>
      <c r="I85" s="33">
        <v>29</v>
      </c>
      <c r="J85" s="14">
        <f>J$5*((1+'User Inputs'!$E$9)^$B84)+J$4*((1+'User Inputs'!$E$12)^$B84)</f>
        <v>1542207.0387837114</v>
      </c>
      <c r="K85" s="14">
        <f>K$5*((1+'User Inputs'!$E$9)^$B84)+K$4*((1+'User Inputs'!$E$12)^$B84)</f>
        <v>2261555.1080939607</v>
      </c>
      <c r="L85" s="14">
        <f>L$5*((1+'User Inputs'!$E$9)^$B84)+L$4*((1+'User Inputs'!$E$12)^$B84)</f>
        <v>2556236.116815472</v>
      </c>
      <c r="M85" s="14">
        <f>M$5*((1+'User Inputs'!$E$9)^$B84)+M$4*((1+'User Inputs'!$E$12)^$B84)</f>
        <v>15661271.380459499</v>
      </c>
      <c r="N85" s="248"/>
      <c r="O85" s="4" t="s">
        <v>42</v>
      </c>
      <c r="P85" s="33">
        <v>29</v>
      </c>
      <c r="Q85" s="14">
        <f>Q$5*((1+'User Inputs'!$E$9)^$B84)+Q$4*((1+'User Inputs'!$E$12)^$B84)</f>
        <v>2467099.6559937745</v>
      </c>
      <c r="R85" s="14">
        <f>R$5*((1+'User Inputs'!$E$9)^$B84)+R$4*((1+'User Inputs'!$E$12)^$B84)</f>
        <v>3829043.0175760519</v>
      </c>
      <c r="S85" s="14">
        <f>S$5*((1+'User Inputs'!$E$9)^$B84)+S$4*((1+'User Inputs'!$E$12)^$B84)</f>
        <v>5468146.3486610502</v>
      </c>
      <c r="T85" s="14">
        <f>T$5*((1+'User Inputs'!$E$9)^$B84)+T$4*((1+'User Inputs'!$E$12)^$B84)</f>
        <v>16076033.784562672</v>
      </c>
    </row>
    <row r="86" spans="1:20" x14ac:dyDescent="0.25">
      <c r="A86" s="4" t="s">
        <v>42</v>
      </c>
      <c r="B86" s="33">
        <v>30</v>
      </c>
      <c r="C86" s="14">
        <f>C$5*((1+'User Inputs'!$E$9)^$B85)+C$4*((1+'User Inputs'!$E$12)^$B85)</f>
        <v>2176317.2338102632</v>
      </c>
      <c r="D86" s="14">
        <f>D$5*((1+'User Inputs'!$E$9)^$B85)+D$4*((1+'User Inputs'!$E$12)^$B85)</f>
        <v>3326656.5436812681</v>
      </c>
      <c r="E86" s="14">
        <f>E$5*((1+'User Inputs'!$E$9)^$B85)+E$4*((1+'User Inputs'!$E$12)^$B85)</f>
        <v>4386134.4470759332</v>
      </c>
      <c r="F86" s="14">
        <f>F$5*((1+'User Inputs'!$E$9)^$B85)+F$4*((1+'User Inputs'!$E$12)^$B85)</f>
        <v>17430077.288205754</v>
      </c>
      <c r="G86" s="104"/>
      <c r="H86" s="4" t="s">
        <v>42</v>
      </c>
      <c r="I86" s="33">
        <v>30</v>
      </c>
      <c r="J86" s="14">
        <f>J$5*((1+'User Inputs'!$E$9)^$B85)+J$4*((1+'User Inputs'!$E$12)^$B85)</f>
        <v>1667626.2943447283</v>
      </c>
      <c r="K86" s="14">
        <f>K$5*((1+'User Inputs'!$E$9)^$B85)+K$4*((1+'User Inputs'!$E$12)^$B85)</f>
        <v>2464538.1934661176</v>
      </c>
      <c r="L86" s="14">
        <f>L$5*((1+'User Inputs'!$E$9)^$B85)+L$4*((1+'User Inputs'!$E$12)^$B85)</f>
        <v>2784583.8195608649</v>
      </c>
      <c r="M86" s="14">
        <f>M$5*((1+'User Inputs'!$E$9)^$B85)+M$4*((1+'User Inputs'!$E$12)^$B85)</f>
        <v>17201957.965949006</v>
      </c>
      <c r="N86" s="248"/>
      <c r="O86" s="4" t="s">
        <v>42</v>
      </c>
      <c r="P86" s="33">
        <v>30</v>
      </c>
      <c r="Q86" s="14">
        <f>Q$5*((1+'User Inputs'!$E$9)^$B85)+Q$4*((1+'User Inputs'!$E$12)^$B85)</f>
        <v>2685008.1732757981</v>
      </c>
      <c r="R86" s="14">
        <f>R$5*((1+'User Inputs'!$E$9)^$B85)+R$4*((1+'User Inputs'!$E$12)^$B85)</f>
        <v>4188774.8938964186</v>
      </c>
      <c r="S86" s="14">
        <f>S$5*((1+'User Inputs'!$E$9)^$B85)+S$4*((1+'User Inputs'!$E$12)^$B85)</f>
        <v>5987685.0745910015</v>
      </c>
      <c r="T86" s="14">
        <f>T$5*((1+'User Inputs'!$E$9)^$B85)+T$4*((1+'User Inputs'!$E$12)^$B85)</f>
        <v>17658196.610462498</v>
      </c>
    </row>
    <row r="87" spans="1:20" x14ac:dyDescent="0.25">
      <c r="A87" s="4" t="s">
        <v>42</v>
      </c>
      <c r="B87" s="33">
        <v>31</v>
      </c>
      <c r="C87" s="14">
        <f>C$5*((1+'User Inputs'!$E$9)^$B86)+C$4*((1+'User Inputs'!$E$12)^$B86)</f>
        <v>2364571.479907589</v>
      </c>
      <c r="D87" s="14">
        <f>D$5*((1+'User Inputs'!$E$9)^$B86)+D$4*((1+'User Inputs'!$E$12)^$B86)</f>
        <v>3635686.3241034113</v>
      </c>
      <c r="E87" s="14">
        <f>E$5*((1+'User Inputs'!$E$9)^$B86)+E$4*((1+'User Inputs'!$E$12)^$B86)</f>
        <v>4796926.4646686502</v>
      </c>
      <c r="F87" s="14">
        <f>F$5*((1+'User Inputs'!$E$9)^$B86)+F$4*((1+'User Inputs'!$E$12)^$B86)</f>
        <v>19147135.653418764</v>
      </c>
      <c r="G87" s="104"/>
      <c r="H87" s="4" t="s">
        <v>42</v>
      </c>
      <c r="I87" s="33">
        <v>31</v>
      </c>
      <c r="J87" s="14">
        <f>J$5*((1+'User Inputs'!$E$9)^$B86)+J$4*((1+'User Inputs'!$E$12)^$B86)</f>
        <v>1805011.4464955006</v>
      </c>
      <c r="K87" s="14">
        <f>K$5*((1+'User Inputs'!$E$9)^$B86)+K$4*((1+'User Inputs'!$E$12)^$B86)</f>
        <v>2687356.1388667459</v>
      </c>
      <c r="L87" s="14">
        <f>L$5*((1+'User Inputs'!$E$9)^$B86)+L$4*((1+'User Inputs'!$E$12)^$B86)</f>
        <v>3035220.774402075</v>
      </c>
      <c r="M87" s="14">
        <f>M$5*((1+'User Inputs'!$E$9)^$B86)+M$4*((1+'User Inputs'!$E$12)^$B86)</f>
        <v>18896204.398936342</v>
      </c>
      <c r="N87" s="248"/>
      <c r="O87" s="4" t="s">
        <v>42</v>
      </c>
      <c r="P87" s="33">
        <v>31</v>
      </c>
      <c r="Q87" s="14">
        <f>Q$5*((1+'User Inputs'!$E$9)^$B86)+Q$4*((1+'User Inputs'!$E$12)^$B86)</f>
        <v>2924131.5133196777</v>
      </c>
      <c r="R87" s="14">
        <f>R$5*((1+'User Inputs'!$E$9)^$B86)+R$4*((1+'User Inputs'!$E$12)^$B86)</f>
        <v>4584016.5093400767</v>
      </c>
      <c r="S87" s="14">
        <f>S$5*((1+'User Inputs'!$E$9)^$B86)+S$4*((1+'User Inputs'!$E$12)^$B86)</f>
        <v>6558632.1549352258</v>
      </c>
      <c r="T87" s="14">
        <f>T$5*((1+'User Inputs'!$E$9)^$B86)+T$4*((1+'User Inputs'!$E$12)^$B86)</f>
        <v>19398066.907901183</v>
      </c>
    </row>
    <row r="88" spans="1:20" x14ac:dyDescent="0.25">
      <c r="A88" s="4" t="s">
        <v>42</v>
      </c>
      <c r="B88" s="33">
        <v>32</v>
      </c>
      <c r="C88" s="14">
        <f>C$5*((1+'User Inputs'!$E$9)^$B87)+C$4*((1+'User Inputs'!$E$12)^$B87)</f>
        <v>2571063.6010689726</v>
      </c>
      <c r="D88" s="14">
        <f>D$5*((1+'User Inputs'!$E$9)^$B87)+D$4*((1+'User Inputs'!$E$12)^$B87)</f>
        <v>3975146.3650888489</v>
      </c>
      <c r="E88" s="14">
        <f>E$5*((1+'User Inputs'!$E$9)^$B87)+E$4*((1+'User Inputs'!$E$12)^$B87)</f>
        <v>5248241.2554783411</v>
      </c>
      <c r="F88" s="14">
        <f>F$5*((1+'User Inputs'!$E$9)^$B87)+F$4*((1+'User Inputs'!$E$12)^$B87)</f>
        <v>21035380.867880918</v>
      </c>
      <c r="G88" s="104"/>
      <c r="H88" s="4" t="s">
        <v>42</v>
      </c>
      <c r="I88" s="33">
        <v>32</v>
      </c>
      <c r="J88" s="14">
        <f>J$5*((1+'User Inputs'!$E$9)^$B87)+J$4*((1+'User Inputs'!$E$12)^$B87)</f>
        <v>1955547.5643156755</v>
      </c>
      <c r="K88" s="14">
        <f>K$5*((1+'User Inputs'!$E$9)^$B87)+K$4*((1+'User Inputs'!$E$12)^$B87)</f>
        <v>2931983.1613285169</v>
      </c>
      <c r="L88" s="14">
        <f>L$5*((1+'User Inputs'!$E$9)^$B87)+L$4*((1+'User Inputs'!$E$12)^$B87)</f>
        <v>3310364.9961851081</v>
      </c>
      <c r="M88" s="14">
        <f>M$5*((1+'User Inputs'!$E$9)^$B87)+M$4*((1+'User Inputs'!$E$12)^$B87)</f>
        <v>20759356.487950258</v>
      </c>
      <c r="N88" s="248"/>
      <c r="O88" s="4" t="s">
        <v>42</v>
      </c>
      <c r="P88" s="33">
        <v>32</v>
      </c>
      <c r="Q88" s="14">
        <f>Q$5*((1+'User Inputs'!$E$9)^$B87)+Q$4*((1+'User Inputs'!$E$12)^$B87)</f>
        <v>3186579.6378222704</v>
      </c>
      <c r="R88" s="14">
        <f>R$5*((1+'User Inputs'!$E$9)^$B87)+R$4*((1+'User Inputs'!$E$12)^$B87)</f>
        <v>5018309.5688491818</v>
      </c>
      <c r="S88" s="14">
        <f>S$5*((1+'User Inputs'!$E$9)^$B87)+S$4*((1+'User Inputs'!$E$12)^$B87)</f>
        <v>7186117.5147715742</v>
      </c>
      <c r="T88" s="14">
        <f>T$5*((1+'User Inputs'!$E$9)^$B87)+T$4*((1+'User Inputs'!$E$12)^$B87)</f>
        <v>21311405.247811578</v>
      </c>
    </row>
    <row r="89" spans="1:20" x14ac:dyDescent="0.25">
      <c r="A89" s="4" t="s">
        <v>42</v>
      </c>
      <c r="B89" s="33">
        <v>33</v>
      </c>
      <c r="C89" s="14">
        <f>C$5*((1+'User Inputs'!$E$9)^$B88)+C$4*((1+'User Inputs'!$E$12)^$B88)</f>
        <v>2797605.6338099074</v>
      </c>
      <c r="D89" s="14">
        <f>D$5*((1+'User Inputs'!$E$9)^$B88)+D$4*((1+'User Inputs'!$E$12)^$B88)</f>
        <v>4348070.2383443322</v>
      </c>
      <c r="E89" s="14">
        <f>E$5*((1+'User Inputs'!$E$9)^$B88)+E$4*((1+'User Inputs'!$E$12)^$B88)</f>
        <v>5744119.968255857</v>
      </c>
      <c r="F89" s="14">
        <f>F$5*((1+'User Inputs'!$E$9)^$B88)+F$4*((1+'User Inputs'!$E$12)^$B88)</f>
        <v>23111921.236771695</v>
      </c>
      <c r="G89" s="104"/>
      <c r="H89" s="4" t="s">
        <v>42</v>
      </c>
      <c r="I89" s="33">
        <v>33</v>
      </c>
      <c r="J89" s="14">
        <f>J$5*((1+'User Inputs'!$E$9)^$B88)+J$4*((1+'User Inputs'!$E$12)^$B88)</f>
        <v>2120537.9933812805</v>
      </c>
      <c r="K89" s="14">
        <f>K$5*((1+'User Inputs'!$E$9)^$B88)+K$4*((1+'User Inputs'!$E$12)^$B88)</f>
        <v>3200590.7142079668</v>
      </c>
      <c r="L89" s="14">
        <f>L$5*((1+'User Inputs'!$E$9)^$B88)+L$4*((1+'User Inputs'!$E$12)^$B88)</f>
        <v>3612456.0830333009</v>
      </c>
      <c r="M89" s="14">
        <f>M$5*((1+'User Inputs'!$E$9)^$B88)+M$4*((1+'User Inputs'!$E$12)^$B88)</f>
        <v>22808294.418847967</v>
      </c>
      <c r="N89" s="248"/>
      <c r="O89" s="4" t="s">
        <v>42</v>
      </c>
      <c r="P89" s="33">
        <v>33</v>
      </c>
      <c r="Q89" s="14">
        <f>Q$5*((1+'User Inputs'!$E$9)^$B88)+Q$4*((1+'User Inputs'!$E$12)^$B88)</f>
        <v>3474673.2742385343</v>
      </c>
      <c r="R89" s="14">
        <f>R$5*((1+'User Inputs'!$E$9)^$B88)+R$4*((1+'User Inputs'!$E$12)^$B88)</f>
        <v>5495549.7624806985</v>
      </c>
      <c r="S89" s="14">
        <f>S$5*((1+'User Inputs'!$E$9)^$B88)+S$4*((1+'User Inputs'!$E$12)^$B88)</f>
        <v>7875783.8534784131</v>
      </c>
      <c r="T89" s="14">
        <f>T$5*((1+'User Inputs'!$E$9)^$B88)+T$4*((1+'User Inputs'!$E$12)^$B88)</f>
        <v>23415548.054695424</v>
      </c>
    </row>
    <row r="90" spans="1:20" x14ac:dyDescent="0.25">
      <c r="A90" s="4" t="s">
        <v>42</v>
      </c>
      <c r="B90" s="33">
        <v>34</v>
      </c>
      <c r="C90" s="14">
        <f>C$5*((1+'User Inputs'!$E$9)^$B89)+C$4*((1+'User Inputs'!$E$12)^$B89)</f>
        <v>3046190.5832776171</v>
      </c>
      <c r="D90" s="14">
        <f>D$5*((1+'User Inputs'!$E$9)^$B89)+D$4*((1+'User Inputs'!$E$12)^$B89)</f>
        <v>4757794.6836602967</v>
      </c>
      <c r="E90" s="14">
        <f>E$5*((1+'User Inputs'!$E$9)^$B89)+E$4*((1+'User Inputs'!$E$12)^$B89)</f>
        <v>6289007.6440557186</v>
      </c>
      <c r="F90" s="14">
        <f>F$5*((1+'User Inputs'!$E$9)^$B89)+F$4*((1+'User Inputs'!$E$12)^$B89)</f>
        <v>25395575.688193608</v>
      </c>
      <c r="G90" s="104"/>
      <c r="H90" s="4" t="s">
        <v>42</v>
      </c>
      <c r="I90" s="33">
        <v>34</v>
      </c>
      <c r="J90" s="14">
        <f>J$5*((1+'User Inputs'!$E$9)^$B89)+J$4*((1+'User Inputs'!$E$12)^$B89)</f>
        <v>2301416.178806127</v>
      </c>
      <c r="K90" s="14">
        <f>K$5*((1+'User Inputs'!$E$9)^$B89)+K$4*((1+'User Inputs'!$E$12)^$B89)</f>
        <v>3495567.2071102946</v>
      </c>
      <c r="L90" s="14">
        <f>L$5*((1+'User Inputs'!$E$9)^$B89)+L$4*((1+'User Inputs'!$E$12)^$B89)</f>
        <v>3944177.3703109068</v>
      </c>
      <c r="M90" s="14">
        <f>M$5*((1+'User Inputs'!$E$9)^$B89)+M$4*((1+'User Inputs'!$E$12)^$B89)</f>
        <v>25061586.188477505</v>
      </c>
      <c r="N90" s="248"/>
      <c r="O90" s="4" t="s">
        <v>42</v>
      </c>
      <c r="P90" s="33">
        <v>34</v>
      </c>
      <c r="Q90" s="14">
        <f>Q$5*((1+'User Inputs'!$E$9)^$B89)+Q$4*((1+'User Inputs'!$E$12)^$B89)</f>
        <v>3790964.9877491067</v>
      </c>
      <c r="R90" s="14">
        <f>R$5*((1+'User Inputs'!$E$9)^$B89)+R$4*((1+'User Inputs'!$E$12)^$B89)</f>
        <v>6020022.1602102984</v>
      </c>
      <c r="S90" s="14">
        <f>S$5*((1+'User Inputs'!$E$9)^$B89)+S$4*((1+'User Inputs'!$E$12)^$B89)</f>
        <v>8633837.9178005327</v>
      </c>
      <c r="T90" s="14">
        <f>T$5*((1+'User Inputs'!$E$9)^$B89)+T$4*((1+'User Inputs'!$E$12)^$B89)</f>
        <v>25729565.187909707</v>
      </c>
    </row>
    <row r="91" spans="1:20" x14ac:dyDescent="0.25">
      <c r="A91" s="4" t="s">
        <v>42</v>
      </c>
      <c r="B91" s="33">
        <v>35</v>
      </c>
      <c r="C91" s="14">
        <f>C$5*((1+'User Inputs'!$E$9)^$B90)+C$4*((1+'User Inputs'!$E$12)^$B90)</f>
        <v>3319010.5154138315</v>
      </c>
      <c r="D91" s="14">
        <f>D$5*((1+'User Inputs'!$E$9)^$B90)+D$4*((1+'User Inputs'!$E$12)^$B90)</f>
        <v>5207989.9219374871</v>
      </c>
      <c r="E91" s="14">
        <f>E$5*((1+'User Inputs'!$E$9)^$B90)+E$4*((1+'User Inputs'!$E$12)^$B90)</f>
        <v>6887793.6010150518</v>
      </c>
      <c r="F91" s="14">
        <f>F$5*((1+'User Inputs'!$E$9)^$B90)+F$4*((1+'User Inputs'!$E$12)^$B90)</f>
        <v>27907044.831312601</v>
      </c>
      <c r="G91" s="104"/>
      <c r="H91" s="4" t="s">
        <v>42</v>
      </c>
      <c r="I91" s="33">
        <v>35</v>
      </c>
      <c r="J91" s="14">
        <f>J$5*((1+'User Inputs'!$E$9)^$B90)+J$4*((1+'User Inputs'!$E$12)^$B90)</f>
        <v>2499758.6704951925</v>
      </c>
      <c r="K91" s="14">
        <f>K$5*((1+'User Inputs'!$E$9)^$B90)+K$4*((1+'User Inputs'!$E$12)^$B90)</f>
        <v>3819539.6977324854</v>
      </c>
      <c r="L91" s="14">
        <f>L$5*((1+'User Inputs'!$E$9)^$B90)+L$4*((1+'User Inputs'!$E$12)^$B90)</f>
        <v>4308480.2998957587</v>
      </c>
      <c r="M91" s="14">
        <f>M$5*((1+'User Inputs'!$E$9)^$B90)+M$4*((1+'User Inputs'!$E$12)^$B90)</f>
        <v>27539656.381624889</v>
      </c>
      <c r="N91" s="248"/>
      <c r="O91" s="4" t="s">
        <v>42</v>
      </c>
      <c r="P91" s="33">
        <v>35</v>
      </c>
      <c r="Q91" s="14">
        <f>Q$5*((1+'User Inputs'!$E$9)^$B90)+Q$4*((1+'User Inputs'!$E$12)^$B90)</f>
        <v>4138262.3603324699</v>
      </c>
      <c r="R91" s="14">
        <f>R$5*((1+'User Inputs'!$E$9)^$B90)+R$4*((1+'User Inputs'!$E$12)^$B90)</f>
        <v>6596440.1461424893</v>
      </c>
      <c r="S91" s="14">
        <f>S$5*((1+'User Inputs'!$E$9)^$B90)+S$4*((1+'User Inputs'!$E$12)^$B90)</f>
        <v>9467106.9021343458</v>
      </c>
      <c r="T91" s="14">
        <f>T$5*((1+'User Inputs'!$E$9)^$B90)+T$4*((1+'User Inputs'!$E$12)^$B90)</f>
        <v>28274433.281000309</v>
      </c>
    </row>
    <row r="92" spans="1:20" x14ac:dyDescent="0.25">
      <c r="A92" s="4" t="s">
        <v>42</v>
      </c>
      <c r="B92" s="33">
        <v>36</v>
      </c>
      <c r="C92" s="14">
        <f>C$5*((1+'User Inputs'!$E$9)^$B91)+C$4*((1+'User Inputs'!$E$12)^$B91)</f>
        <v>3618476.4582398366</v>
      </c>
      <c r="D92" s="14">
        <f>D$5*((1+'User Inputs'!$E$9)^$B91)+D$4*((1+'User Inputs'!$E$12)^$B91)</f>
        <v>5702692.9994406216</v>
      </c>
      <c r="E92" s="14">
        <f>E$5*((1+'User Inputs'!$E$9)^$B91)+E$4*((1+'User Inputs'!$E$12)^$B91)</f>
        <v>7545855.8575213943</v>
      </c>
      <c r="F92" s="14">
        <f>F$5*((1+'User Inputs'!$E$9)^$B91)+F$4*((1+'User Inputs'!$E$12)^$B91)</f>
        <v>30669099.120229494</v>
      </c>
      <c r="G92" s="104"/>
      <c r="H92" s="4" t="s">
        <v>42</v>
      </c>
      <c r="I92" s="33">
        <v>36</v>
      </c>
      <c r="J92" s="14">
        <f>J$5*((1+'User Inputs'!$E$9)^$B91)+J$4*((1+'User Inputs'!$E$12)^$B91)</f>
        <v>2717299.4288293337</v>
      </c>
      <c r="K92" s="14">
        <f>K$5*((1+'User Inputs'!$E$9)^$B91)+K$4*((1+'User Inputs'!$E$12)^$B91)</f>
        <v>4175397.7528151185</v>
      </c>
      <c r="L92" s="14">
        <f>L$5*((1+'User Inputs'!$E$9)^$B91)+L$4*((1+'User Inputs'!$E$12)^$B91)</f>
        <v>4708611.226290172</v>
      </c>
      <c r="M92" s="14">
        <f>M$5*((1+'User Inputs'!$E$9)^$B91)+M$4*((1+'User Inputs'!$E$12)^$B91)</f>
        <v>30264971.825573005</v>
      </c>
      <c r="N92" s="248"/>
      <c r="O92" s="4" t="s">
        <v>42</v>
      </c>
      <c r="P92" s="33">
        <v>36</v>
      </c>
      <c r="Q92" s="14">
        <f>Q$5*((1+'User Inputs'!$E$9)^$B91)+Q$4*((1+'User Inputs'!$E$12)^$B91)</f>
        <v>4519653.4876503395</v>
      </c>
      <c r="R92" s="14">
        <f>R$5*((1+'User Inputs'!$E$9)^$B91)+R$4*((1+'User Inputs'!$E$12)^$B91)</f>
        <v>7229988.2460661242</v>
      </c>
      <c r="S92" s="14">
        <f>S$5*((1+'User Inputs'!$E$9)^$B91)+S$4*((1+'User Inputs'!$E$12)^$B91)</f>
        <v>10383100.48875262</v>
      </c>
      <c r="T92" s="14">
        <f>T$5*((1+'User Inputs'!$E$9)^$B91)+T$4*((1+'User Inputs'!$E$12)^$B91)</f>
        <v>31073226.414885972</v>
      </c>
    </row>
    <row r="93" spans="1:20" x14ac:dyDescent="0.25">
      <c r="A93" s="4" t="s">
        <v>42</v>
      </c>
      <c r="B93" s="33">
        <v>37</v>
      </c>
      <c r="C93" s="14">
        <f>C$5*((1+'User Inputs'!$E$9)^$B92)+C$4*((1+'User Inputs'!$E$12)^$B92)</f>
        <v>3947240.2931741346</v>
      </c>
      <c r="D93" s="14">
        <f>D$5*((1+'User Inputs'!$E$9)^$B92)+D$4*((1+'User Inputs'!$E$12)^$B92)</f>
        <v>6246344.4664002545</v>
      </c>
      <c r="E93" s="14">
        <f>E$5*((1+'User Inputs'!$E$9)^$B92)+E$4*((1+'User Inputs'!$E$12)^$B92)</f>
        <v>8269109.9976064675</v>
      </c>
      <c r="F93" s="14">
        <f>F$5*((1+'User Inputs'!$E$9)^$B92)+F$4*((1+'User Inputs'!$E$12)^$B92)</f>
        <v>33706785.834153779</v>
      </c>
      <c r="G93" s="104"/>
      <c r="H93" s="4" t="s">
        <v>42</v>
      </c>
      <c r="I93" s="33">
        <v>37</v>
      </c>
      <c r="J93" s="14">
        <f>J$5*((1+'User Inputs'!$E$9)^$B92)+J$4*((1+'User Inputs'!$E$12)^$B92)</f>
        <v>2955945.5608225814</v>
      </c>
      <c r="K93" s="14">
        <f>K$5*((1+'User Inputs'!$E$9)^$B92)+K$4*((1+'User Inputs'!$E$12)^$B92)</f>
        <v>4566319.6951122023</v>
      </c>
      <c r="L93" s="14">
        <f>L$5*((1+'User Inputs'!$E$9)^$B92)+L$4*((1+'User Inputs'!$E$12)^$B92)</f>
        <v>5148140.903252122</v>
      </c>
      <c r="M93" s="14">
        <f>M$5*((1+'User Inputs'!$E$9)^$B92)+M$4*((1+'User Inputs'!$E$12)^$B92)</f>
        <v>33262245.810031641</v>
      </c>
      <c r="N93" s="248"/>
      <c r="O93" s="4" t="s">
        <v>42</v>
      </c>
      <c r="P93" s="33">
        <v>37</v>
      </c>
      <c r="Q93" s="14">
        <f>Q$5*((1+'User Inputs'!$E$9)^$B92)+Q$4*((1+'User Inputs'!$E$12)^$B92)</f>
        <v>4938535.0255256863</v>
      </c>
      <c r="R93" s="14">
        <f>R$5*((1+'User Inputs'!$E$9)^$B92)+R$4*((1+'User Inputs'!$E$12)^$B92)</f>
        <v>7926369.2376883077</v>
      </c>
      <c r="S93" s="14">
        <f>S$5*((1+'User Inputs'!$E$9)^$B92)+S$4*((1+'User Inputs'!$E$12)^$B92)</f>
        <v>11390079.091960814</v>
      </c>
      <c r="T93" s="14">
        <f>T$5*((1+'User Inputs'!$E$9)^$B92)+T$4*((1+'User Inputs'!$E$12)^$B92)</f>
        <v>34151325.858275905</v>
      </c>
    </row>
    <row r="94" spans="1:20" x14ac:dyDescent="0.25">
      <c r="A94" s="4" t="s">
        <v>42</v>
      </c>
      <c r="B94" s="33">
        <v>38</v>
      </c>
      <c r="C94" s="14">
        <f>C$5*((1+'User Inputs'!$E$9)^$B93)+C$4*((1+'User Inputs'!$E$12)^$B93)</f>
        <v>4308218.8353840681</v>
      </c>
      <c r="D94" s="14">
        <f>D$5*((1+'User Inputs'!$E$9)^$B93)+D$4*((1+'User Inputs'!$E$12)^$B93)</f>
        <v>6843828.7233961644</v>
      </c>
      <c r="E94" s="14">
        <f>E$5*((1+'User Inputs'!$E$9)^$B93)+E$4*((1+'User Inputs'!$E$12)^$B93)</f>
        <v>9064062.9227867052</v>
      </c>
      <c r="F94" s="14">
        <f>F$5*((1+'User Inputs'!$E$9)^$B93)+F$4*((1+'User Inputs'!$E$12)^$B93)</f>
        <v>37047656.75550852</v>
      </c>
      <c r="G94" s="104"/>
      <c r="H94" s="4" t="s">
        <v>42</v>
      </c>
      <c r="I94" s="33">
        <v>38</v>
      </c>
      <c r="J94" s="14">
        <f>J$5*((1+'User Inputs'!$E$9)^$B93)+J$4*((1+'User Inputs'!$E$12)^$B93)</f>
        <v>3217794.6297973599</v>
      </c>
      <c r="K94" s="14">
        <f>K$5*((1+'User Inputs'!$E$9)^$B93)+K$4*((1+'User Inputs'!$E$12)^$B93)</f>
        <v>4995801.4749793056</v>
      </c>
      <c r="L94" s="14">
        <f>L$5*((1+'User Inputs'!$E$9)^$B93)+L$4*((1+'User Inputs'!$E$12)^$B93)</f>
        <v>5630996.9189969255</v>
      </c>
      <c r="M94" s="14">
        <f>M$5*((1+'User Inputs'!$E$9)^$B93)+M$4*((1+'User Inputs'!$E$12)^$B93)</f>
        <v>36558662.728974171</v>
      </c>
      <c r="N94" s="248"/>
      <c r="O94" s="4" t="s">
        <v>42</v>
      </c>
      <c r="P94" s="33">
        <v>38</v>
      </c>
      <c r="Q94" s="14">
        <f>Q$5*((1+'User Inputs'!$E$9)^$B93)+Q$4*((1+'User Inputs'!$E$12)^$B93)</f>
        <v>5398643.0409707772</v>
      </c>
      <c r="R94" s="14">
        <f>R$5*((1+'User Inputs'!$E$9)^$B93)+R$4*((1+'User Inputs'!$E$12)^$B93)</f>
        <v>8691855.9718130231</v>
      </c>
      <c r="S94" s="14">
        <f>S$5*((1+'User Inputs'!$E$9)^$B93)+S$4*((1+'User Inputs'!$E$12)^$B93)</f>
        <v>12497128.926576488</v>
      </c>
      <c r="T94" s="14">
        <f>T$5*((1+'User Inputs'!$E$9)^$B93)+T$4*((1+'User Inputs'!$E$12)^$B93)</f>
        <v>37536650.782042861</v>
      </c>
    </row>
    <row r="95" spans="1:20" x14ac:dyDescent="0.25">
      <c r="A95" s="4" t="s">
        <v>42</v>
      </c>
      <c r="B95" s="33">
        <v>39</v>
      </c>
      <c r="C95" s="14">
        <f>C$5*((1+'User Inputs'!$E$9)^$B94)+C$4*((1+'User Inputs'!$E$12)^$B94)</f>
        <v>4704620.3220728468</v>
      </c>
      <c r="D95" s="14">
        <f>D$5*((1+'User Inputs'!$E$9)^$B94)+D$4*((1+'User Inputs'!$E$12)^$B94)</f>
        <v>7500518.402298783</v>
      </c>
      <c r="E95" s="14">
        <f>E$5*((1+'User Inputs'!$E$9)^$B94)+E$4*((1+'User Inputs'!$E$12)^$B94)</f>
        <v>9937871.9789933618</v>
      </c>
      <c r="F95" s="14">
        <f>F$5*((1+'User Inputs'!$E$9)^$B94)+F$4*((1+'User Inputs'!$E$12)^$B94)</f>
        <v>40722018.61575754</v>
      </c>
      <c r="G95" s="104"/>
      <c r="H95" s="4" t="s">
        <v>42</v>
      </c>
      <c r="I95" s="33">
        <v>39</v>
      </c>
      <c r="J95" s="14">
        <f>J$5*((1+'User Inputs'!$E$9)^$B94)+J$4*((1+'User Inputs'!$E$12)^$B94)</f>
        <v>3505153.6959274672</v>
      </c>
      <c r="K95" s="14">
        <f>K$5*((1+'User Inputs'!$E$9)^$B94)+K$4*((1+'User Inputs'!$E$12)^$B94)</f>
        <v>5467688.4290402383</v>
      </c>
      <c r="L95" s="14">
        <f>L$5*((1+'User Inputs'!$E$9)^$B94)+L$4*((1+'User Inputs'!$E$12)^$B94)</f>
        <v>6161499.3748246031</v>
      </c>
      <c r="M95" s="14">
        <f>M$5*((1+'User Inputs'!$E$9)^$B94)+M$4*((1+'User Inputs'!$E$12)^$B94)</f>
        <v>40184125.186569758</v>
      </c>
      <c r="N95" s="248"/>
      <c r="O95" s="4" t="s">
        <v>42</v>
      </c>
      <c r="P95" s="33">
        <v>39</v>
      </c>
      <c r="Q95" s="14">
        <f>Q$5*((1+'User Inputs'!$E$9)^$B94)+Q$4*((1+'User Inputs'!$E$12)^$B94)</f>
        <v>5904086.9482182264</v>
      </c>
      <c r="R95" s="14">
        <f>R$5*((1+'User Inputs'!$E$9)^$B94)+R$4*((1+'User Inputs'!$E$12)^$B94)</f>
        <v>9533348.3755573276</v>
      </c>
      <c r="S95" s="14">
        <f>S$5*((1+'User Inputs'!$E$9)^$B94)+S$4*((1+'User Inputs'!$E$12)^$B94)</f>
        <v>13714244.583162123</v>
      </c>
      <c r="T95" s="14">
        <f>T$5*((1+'User Inputs'!$E$9)^$B94)+T$4*((1+'User Inputs'!$E$12)^$B94)</f>
        <v>41259912.044945315</v>
      </c>
    </row>
    <row r="96" spans="1:20" x14ac:dyDescent="0.25">
      <c r="A96" s="4" t="s">
        <v>42</v>
      </c>
      <c r="B96" s="33">
        <v>40</v>
      </c>
      <c r="C96" s="14">
        <f>C$5*((1+'User Inputs'!$E$9)^$B95)+C$4*((1+'User Inputs'!$E$12)^$B95)</f>
        <v>5139973.5494935103</v>
      </c>
      <c r="D96" s="14">
        <f>D$5*((1+'User Inputs'!$E$9)^$B95)+D$4*((1+'User Inputs'!$E$12)^$B95)</f>
        <v>8222323.1852229228</v>
      </c>
      <c r="E96" s="14">
        <f>E$5*((1+'User Inputs'!$E$9)^$B95)+E$4*((1+'User Inputs'!$E$12)^$B95)</f>
        <v>10898409.996099243</v>
      </c>
      <c r="F96" s="14">
        <f>F$5*((1+'User Inputs'!$E$9)^$B95)+F$4*((1+'User Inputs'!$E$12)^$B95)</f>
        <v>44763208.585725412</v>
      </c>
      <c r="G96" s="104"/>
      <c r="H96" s="4" t="s">
        <v>42</v>
      </c>
      <c r="I96" s="33">
        <v>40</v>
      </c>
      <c r="J96" s="14">
        <f>J$5*((1+'User Inputs'!$E$9)^$B95)+J$4*((1+'User Inputs'!$E$12)^$B95)</f>
        <v>3820560.2607335919</v>
      </c>
      <c r="K96" s="14">
        <f>K$5*((1+'User Inputs'!$E$9)^$B95)+K$4*((1+'User Inputs'!$E$12)^$B95)</f>
        <v>5986210.2146385228</v>
      </c>
      <c r="L96" s="14">
        <f>L$5*((1+'User Inputs'!$E$9)^$B95)+L$4*((1+'User Inputs'!$E$12)^$B95)</f>
        <v>6744400.1315136068</v>
      </c>
      <c r="M96" s="14">
        <f>M$5*((1+'User Inputs'!$E$9)^$B95)+M$4*((1+'User Inputs'!$E$12)^$B95)</f>
        <v>44171525.813618846</v>
      </c>
      <c r="N96" s="248"/>
      <c r="O96" s="4" t="s">
        <v>42</v>
      </c>
      <c r="P96" s="33">
        <v>40</v>
      </c>
      <c r="Q96" s="14">
        <f>Q$5*((1+'User Inputs'!$E$9)^$B95)+Q$4*((1+'User Inputs'!$E$12)^$B95)</f>
        <v>6459386.8382534273</v>
      </c>
      <c r="R96" s="14">
        <f>R$5*((1+'User Inputs'!$E$9)^$B95)+R$4*((1+'User Inputs'!$E$12)^$B95)</f>
        <v>10458436.155807322</v>
      </c>
      <c r="S96" s="14">
        <f>S$5*((1+'User Inputs'!$E$9)^$B95)+S$4*((1+'User Inputs'!$E$12)^$B95)</f>
        <v>15052419.860684879</v>
      </c>
      <c r="T96" s="14">
        <f>T$5*((1+'User Inputs'!$E$9)^$B95)+T$4*((1+'User Inputs'!$E$12)^$B95)</f>
        <v>45354891.357831962</v>
      </c>
    </row>
    <row r="98" spans="1:20" ht="30" x14ac:dyDescent="0.25">
      <c r="A98" s="38" t="s">
        <v>151</v>
      </c>
      <c r="B98" s="34"/>
      <c r="C98" s="37"/>
      <c r="H98" s="38"/>
      <c r="I98" s="34"/>
      <c r="J98" s="37"/>
      <c r="O98" s="38"/>
      <c r="P98" s="34"/>
      <c r="Q98" s="37"/>
    </row>
    <row r="99" spans="1:20" x14ac:dyDescent="0.25">
      <c r="A99" s="4" t="s">
        <v>42</v>
      </c>
      <c r="B99" s="33">
        <v>0</v>
      </c>
      <c r="C99" s="14">
        <f>0</f>
        <v>0</v>
      </c>
      <c r="D99" s="14">
        <f>0</f>
        <v>0</v>
      </c>
      <c r="E99" s="14">
        <f>0</f>
        <v>0</v>
      </c>
      <c r="F99" s="14">
        <f>0</f>
        <v>0</v>
      </c>
      <c r="G99" s="248"/>
      <c r="H99" s="4" t="s">
        <v>42</v>
      </c>
      <c r="I99" s="33">
        <v>0</v>
      </c>
      <c r="J99" s="14">
        <f>0</f>
        <v>0</v>
      </c>
      <c r="K99" s="14">
        <f>0</f>
        <v>0</v>
      </c>
      <c r="L99" s="14">
        <f>0</f>
        <v>0</v>
      </c>
      <c r="M99" s="14">
        <f>0</f>
        <v>0</v>
      </c>
      <c r="N99" s="248"/>
      <c r="O99" s="4" t="s">
        <v>42</v>
      </c>
      <c r="P99" s="33">
        <v>0</v>
      </c>
      <c r="Q99" s="14">
        <f>0</f>
        <v>0</v>
      </c>
      <c r="R99" s="14">
        <f>0</f>
        <v>0</v>
      </c>
      <c r="S99" s="14">
        <f>0</f>
        <v>0</v>
      </c>
      <c r="T99" s="14">
        <f>0</f>
        <v>0</v>
      </c>
    </row>
    <row r="100" spans="1:20" x14ac:dyDescent="0.25">
      <c r="A100" s="4" t="s">
        <v>42</v>
      </c>
      <c r="B100" s="33">
        <v>1</v>
      </c>
      <c r="C100" s="14">
        <f>C6+C8</f>
        <v>260686.10283742857</v>
      </c>
      <c r="D100" s="14">
        <f t="shared" ref="D100:F100" si="88">D6+D8</f>
        <v>270963.62917042861</v>
      </c>
      <c r="E100" s="14">
        <f t="shared" si="88"/>
        <v>424433.55238471425</v>
      </c>
      <c r="F100" s="14">
        <f t="shared" si="88"/>
        <v>681168.3754968571</v>
      </c>
      <c r="G100" s="248"/>
      <c r="H100" s="4" t="s">
        <v>42</v>
      </c>
      <c r="I100" s="33">
        <v>1</v>
      </c>
      <c r="J100" s="14">
        <f t="shared" ref="J100:M100" si="89">J6+J8</f>
        <v>189722.06712314286</v>
      </c>
      <c r="K100" s="14">
        <f t="shared" si="89"/>
        <v>225571.11667042857</v>
      </c>
      <c r="L100" s="14">
        <f t="shared" si="89"/>
        <v>305548.40059899999</v>
      </c>
      <c r="M100" s="14">
        <f t="shared" si="89"/>
        <v>541687.33978257142</v>
      </c>
      <c r="N100" s="248"/>
      <c r="O100" s="4" t="s">
        <v>42</v>
      </c>
      <c r="P100" s="33">
        <v>1</v>
      </c>
      <c r="Q100" s="14">
        <f t="shared" ref="Q100:T100" si="90">Q6+Q8</f>
        <v>331650.13855171431</v>
      </c>
      <c r="R100" s="14">
        <f t="shared" si="90"/>
        <v>316356.14167042857</v>
      </c>
      <c r="S100" s="14">
        <f t="shared" si="90"/>
        <v>543318.70417042857</v>
      </c>
      <c r="T100" s="14">
        <f t="shared" si="90"/>
        <v>820649.4112111429</v>
      </c>
    </row>
    <row r="101" spans="1:20" x14ac:dyDescent="0.25">
      <c r="A101" s="4" t="s">
        <v>42</v>
      </c>
      <c r="B101" s="33">
        <v>2</v>
      </c>
      <c r="C101" s="14">
        <f>(C$6*(1+0.02*$B100)+C$8)*((1+'User Inputs'!$E$12)^$B100)</f>
        <v>268071.32539206068</v>
      </c>
      <c r="D101" s="14">
        <f>(D$6*(1+0.02*$B100)+D$8)*((1+'User Inputs'!$E$12)^$B100)</f>
        <v>278764.06378891389</v>
      </c>
      <c r="E101" s="14">
        <f>(E$6*(1+0.02*$B100)+E$8)*((1+'User Inputs'!$E$12)^$B100)</f>
        <v>438434.17190105672</v>
      </c>
      <c r="F101" s="14">
        <f>(F$6*(1+0.02*$B100)+F$8)*((1+'User Inputs'!$E$12)^$B100)</f>
        <v>705541.08186693012</v>
      </c>
      <c r="G101" s="248"/>
      <c r="H101" s="4" t="s">
        <v>42</v>
      </c>
      <c r="I101" s="33">
        <v>2</v>
      </c>
      <c r="J101" s="14">
        <f>(J$6*(1+0.02*$B100)+J$8)*((1+'User Inputs'!$E$12)^$B100)</f>
        <v>194240.34263491782</v>
      </c>
      <c r="K101" s="14">
        <f>(K$6*(1+0.02*$B100)+K$8)*((1+'User Inputs'!$E$12)^$B100)</f>
        <v>231537.69378391388</v>
      </c>
      <c r="L101" s="14">
        <f>(L$6*(1+0.02*$B100)+L$8)*((1+'User Inputs'!$E$12)^$B100)</f>
        <v>314746.05998319958</v>
      </c>
      <c r="M101" s="14">
        <f>(M$6*(1+0.02*$B100)+M$8)*((1+'User Inputs'!$E$12)^$B100)</f>
        <v>560425.01230978733</v>
      </c>
      <c r="N101" s="248"/>
      <c r="O101" s="4" t="s">
        <v>42</v>
      </c>
      <c r="P101" s="33">
        <v>2</v>
      </c>
      <c r="Q101" s="14">
        <f>(Q$6*(1+0.02*$B100)+Q$8)*((1+'User Inputs'!$E$12)^$B100)</f>
        <v>341902.30814920354</v>
      </c>
      <c r="R101" s="14">
        <f>(R$6*(1+0.02*$B100)+R$8)*((1+'User Inputs'!$E$12)^$B100)</f>
        <v>325990.43379391392</v>
      </c>
      <c r="S101" s="14">
        <f>(S$6*(1+0.02*$B100)+S$8)*((1+'User Inputs'!$E$12)^$B100)</f>
        <v>562122.28381891386</v>
      </c>
      <c r="T101" s="14">
        <f>(T$6*(1+0.02*$B100)+T$8)*((1+'User Inputs'!$E$12)^$B100)</f>
        <v>850657.15142407303</v>
      </c>
    </row>
    <row r="102" spans="1:20" x14ac:dyDescent="0.25">
      <c r="A102" s="4" t="s">
        <v>42</v>
      </c>
      <c r="B102" s="33">
        <v>3</v>
      </c>
      <c r="C102" s="14">
        <f>(C$6*(1+0.02*$B101)+C$8)*((1+'User Inputs'!$E$12)^$B101)</f>
        <v>275647.68240774312</v>
      </c>
      <c r="D102" s="14">
        <f>(D$6*(1+0.02*$B101)+D$8)*((1+'User Inputs'!$E$12)^$B101)</f>
        <v>286768.13034047047</v>
      </c>
      <c r="E102" s="14">
        <f>(E$6*(1+0.02*$B101)+E$8)*((1+'User Inputs'!$E$12)^$B101)</f>
        <v>452825.04277709901</v>
      </c>
      <c r="F102" s="14">
        <f>(F$6*(1+0.02*$B101)+F$8)*((1+'User Inputs'!$E$12)^$B101)</f>
        <v>730616.22914160741</v>
      </c>
      <c r="G102" s="248"/>
      <c r="H102" s="4" t="s">
        <v>42</v>
      </c>
      <c r="I102" s="33">
        <v>3</v>
      </c>
      <c r="J102" s="14">
        <f>(J$6*(1+0.02*$B101)+J$8)*((1+'User Inputs'!$E$12)^$B101)</f>
        <v>198863.46034031454</v>
      </c>
      <c r="K102" s="14">
        <f>(K$6*(1+0.02*$B101)+K$8)*((1+'User Inputs'!$E$12)^$B101)</f>
        <v>237652.70553527045</v>
      </c>
      <c r="L102" s="14">
        <f>(L$6*(1+0.02*$B101)+L$8)*((1+'User Inputs'!$E$12)^$B101)</f>
        <v>324189.40638252755</v>
      </c>
      <c r="M102" s="14">
        <f>(M$6*(1+0.02*$B101)+M$8)*((1+'User Inputs'!$E$12)^$B101)</f>
        <v>579695.51680217881</v>
      </c>
      <c r="N102" s="248"/>
      <c r="O102" s="4" t="s">
        <v>42</v>
      </c>
      <c r="P102" s="33">
        <v>3</v>
      </c>
      <c r="Q102" s="14">
        <f>(Q$6*(1+0.02*$B101)+Q$8)*((1+'User Inputs'!$E$12)^$B101)</f>
        <v>352431.9044751717</v>
      </c>
      <c r="R102" s="14">
        <f>(R$6*(1+0.02*$B101)+R$8)*((1+'User Inputs'!$E$12)^$B101)</f>
        <v>335883.55514567049</v>
      </c>
      <c r="S102" s="14">
        <f>(S$6*(1+0.02*$B101)+S$8)*((1+'User Inputs'!$E$12)^$B101)</f>
        <v>581460.67917167046</v>
      </c>
      <c r="T102" s="14">
        <f>(T$6*(1+0.02*$B101)+T$8)*((1+'User Inputs'!$E$12)^$B101)</f>
        <v>881536.94148103602</v>
      </c>
    </row>
    <row r="103" spans="1:20" x14ac:dyDescent="0.25">
      <c r="A103" s="4" t="s">
        <v>42</v>
      </c>
      <c r="B103" s="33">
        <v>4</v>
      </c>
      <c r="C103" s="14">
        <f>(C$6*(1+0.02*$B102)+C$8)*((1+'User Inputs'!$E$12)^$B102)</f>
        <v>283419.86517389596</v>
      </c>
      <c r="D103" s="14">
        <f>(D$6*(1+0.02*$B102)+D$8)*((1+'User Inputs'!$E$12)^$B102)</f>
        <v>294980.85392857372</v>
      </c>
      <c r="E103" s="14">
        <f>(E$6*(1+0.02*$B102)+E$8)*((1+'User Inputs'!$E$12)^$B102)</f>
        <v>467616.17481942248</v>
      </c>
      <c r="F103" s="14">
        <f>(F$6*(1+0.02*$B102)+F$8)*((1+'User Inputs'!$E$12)^$B102)</f>
        <v>756412.16587452474</v>
      </c>
      <c r="G103" s="248"/>
      <c r="H103" s="4" t="s">
        <v>42</v>
      </c>
      <c r="I103" s="33">
        <v>4</v>
      </c>
      <c r="J103" s="14">
        <f>(J$6*(1+0.02*$B102)+J$8)*((1+'User Inputs'!$E$12)^$B102)</f>
        <v>203593.80661687313</v>
      </c>
      <c r="K103" s="14">
        <f>(K$6*(1+0.02*$B102)+K$8)*((1+'User Inputs'!$E$12)^$B102)</f>
        <v>243919.70267916771</v>
      </c>
      <c r="L103" s="14">
        <f>(L$6*(1+0.02*$B102)+L$8)*((1+'User Inputs'!$E$12)^$B102)</f>
        <v>333884.58821383538</v>
      </c>
      <c r="M103" s="14">
        <f>(M$6*(1+0.02*$B102)+M$8)*((1+'User Inputs'!$E$12)^$B102)</f>
        <v>599512.67146934208</v>
      </c>
      <c r="N103" s="248"/>
      <c r="O103" s="4" t="s">
        <v>42</v>
      </c>
      <c r="P103" s="33">
        <v>4</v>
      </c>
      <c r="Q103" s="14">
        <f>(Q$6*(1+0.02*$B102)+Q$8)*((1+'User Inputs'!$E$12)^$B102)</f>
        <v>363245.92373091885</v>
      </c>
      <c r="R103" s="14">
        <f>(R$6*(1+0.02*$B102)+R$8)*((1+'User Inputs'!$E$12)^$B102)</f>
        <v>346042.00517797971</v>
      </c>
      <c r="S103" s="14">
        <f>(S$6*(1+0.02*$B102)+S$8)*((1+'User Inputs'!$E$12)^$B102)</f>
        <v>601347.7614250097</v>
      </c>
      <c r="T103" s="14">
        <f>(T$6*(1+0.02*$B102)+T$8)*((1+'User Inputs'!$E$12)^$B102)</f>
        <v>913311.66027970775</v>
      </c>
    </row>
    <row r="104" spans="1:20" x14ac:dyDescent="0.25">
      <c r="A104" s="4" t="s">
        <v>42</v>
      </c>
      <c r="B104" s="33">
        <v>5</v>
      </c>
      <c r="C104" s="14">
        <f>(C$6*(1+0.02*$B103)+C$8)*((1+'User Inputs'!$E$12)^$B103)</f>
        <v>291392.67617773195</v>
      </c>
      <c r="D104" s="14">
        <f>(D$6*(1+0.02*$B103)+D$8)*((1+'User Inputs'!$E$12)^$B103)</f>
        <v>303407.37920806493</v>
      </c>
      <c r="E104" s="14">
        <f>(E$6*(1+0.02*$B103)+E$8)*((1+'User Inputs'!$E$12)^$B103)</f>
        <v>482817.82212632819</v>
      </c>
      <c r="F104" s="14">
        <f>(F$6*(1+0.02*$B103)+F$8)*((1+'User Inputs'!$E$12)^$B103)</f>
        <v>782947.69358510245</v>
      </c>
      <c r="G104" s="248"/>
      <c r="H104" s="4" t="s">
        <v>42</v>
      </c>
      <c r="I104" s="33">
        <v>5</v>
      </c>
      <c r="J104" s="14">
        <f>(J$6*(1+0.02*$B103)+J$8)*((1+'User Inputs'!$E$12)^$B103)</f>
        <v>208433.82136035798</v>
      </c>
      <c r="K104" s="14">
        <f>(K$6*(1+0.02*$B103)+K$8)*((1+'User Inputs'!$E$12)^$B103)</f>
        <v>250342.31862660672</v>
      </c>
      <c r="L104" s="14">
        <f>(L$6*(1+0.02*$B103)+L$8)*((1+'User Inputs'!$E$12)^$B103)</f>
        <v>343837.90155584249</v>
      </c>
      <c r="M104" s="14">
        <f>(M$6*(1+0.02*$B103)+M$8)*((1+'User Inputs'!$E$12)^$B103)</f>
        <v>619890.63411647105</v>
      </c>
      <c r="N104" s="248"/>
      <c r="O104" s="4" t="s">
        <v>42</v>
      </c>
      <c r="P104" s="33">
        <v>5</v>
      </c>
      <c r="Q104" s="14">
        <f>(Q$6*(1+0.02*$B103)+Q$8)*((1+'User Inputs'!$E$12)^$B103)</f>
        <v>374351.53099510586</v>
      </c>
      <c r="R104" s="14">
        <f>(R$6*(1+0.02*$B103)+R$8)*((1+'User Inputs'!$E$12)^$B103)</f>
        <v>356472.43978952302</v>
      </c>
      <c r="S104" s="14">
        <f>(S$6*(1+0.02*$B103)+S$8)*((1+'User Inputs'!$E$12)^$B103)</f>
        <v>621797.74269681389</v>
      </c>
      <c r="T104" s="14">
        <f>(T$6*(1+0.02*$B103)+T$8)*((1+'User Inputs'!$E$12)^$B103)</f>
        <v>946004.75305373408</v>
      </c>
    </row>
    <row r="105" spans="1:20" x14ac:dyDescent="0.25">
      <c r="A105" s="4" t="s">
        <v>42</v>
      </c>
      <c r="B105" s="33">
        <v>6</v>
      </c>
      <c r="C105" s="14">
        <f>(C$6*(1+0.02*$B104)+C$8)*((1+'User Inputs'!$E$12)^$B104)</f>
        <v>299571.03167565179</v>
      </c>
      <c r="D105" s="14">
        <f>(D$6*(1+0.02*$B104)+D$8)*((1+'User Inputs'!$E$12)^$B104)</f>
        <v>312052.97315716435</v>
      </c>
      <c r="E105" s="14">
        <f>(E$6*(1+0.02*$B104)+E$8)*((1+'User Inputs'!$E$12)^$B104)</f>
        <v>498440.48885558231</v>
      </c>
      <c r="F105" s="14">
        <f>(F$6*(1+0.02*$B104)+F$8)*((1+'User Inputs'!$E$12)^$B104)</f>
        <v>810242.07753775339</v>
      </c>
      <c r="G105" s="248"/>
      <c r="H105" s="4" t="s">
        <v>42</v>
      </c>
      <c r="I105" s="33">
        <v>6</v>
      </c>
      <c r="J105" s="14">
        <f>(J$6*(1+0.02*$B104)+J$8)*((1+'User Inputs'!$E$12)^$B104)</f>
        <v>213385.99917093548</v>
      </c>
      <c r="K105" s="14">
        <f>(K$6*(1+0.02*$B104)+K$8)*((1+'User Inputs'!$E$12)^$B104)</f>
        <v>256924.27133087165</v>
      </c>
      <c r="L105" s="14">
        <f>(L$6*(1+0.02*$B104)+L$8)*((1+'User Inputs'!$E$12)^$B104)</f>
        <v>354055.79359624442</v>
      </c>
      <c r="M105" s="14">
        <f>(M$6*(1+0.02*$B104)+M$8)*((1+'User Inputs'!$E$12)^$B104)</f>
        <v>640843.91020089725</v>
      </c>
      <c r="N105" s="248"/>
      <c r="O105" s="4" t="s">
        <v>42</v>
      </c>
      <c r="P105" s="33">
        <v>6</v>
      </c>
      <c r="Q105" s="14">
        <f>(Q$6*(1+0.02*$B104)+Q$8)*((1+'User Inputs'!$E$12)^$B104)</f>
        <v>385756.06418036803</v>
      </c>
      <c r="R105" s="14">
        <f>(R$6*(1+0.02*$B104)+R$8)*((1+'User Inputs'!$E$12)^$B104)</f>
        <v>367181.67498345696</v>
      </c>
      <c r="S105" s="14">
        <f>(S$6*(1+0.02*$B104)+S$8)*((1+'User Inputs'!$E$12)^$B104)</f>
        <v>642825.18411492021</v>
      </c>
      <c r="T105" s="14">
        <f>(T$6*(1+0.02*$B104)+T$8)*((1+'User Inputs'!$E$12)^$B104)</f>
        <v>979640.24487460952</v>
      </c>
    </row>
    <row r="106" spans="1:20" x14ac:dyDescent="0.25">
      <c r="A106" s="4" t="s">
        <v>42</v>
      </c>
      <c r="B106" s="33">
        <v>7</v>
      </c>
      <c r="C106" s="14">
        <f>(C$6*(1+0.02*$B105)+C$8)*((1+'User Inputs'!$E$12)^$B105)</f>
        <v>307959.96432301722</v>
      </c>
      <c r="D106" s="14">
        <f>(D$6*(1+0.02*$B105)+D$8)*((1+'User Inputs'!$E$12)^$B105)</f>
        <v>320923.02791254449</v>
      </c>
      <c r="E106" s="14">
        <f>(E$6*(1+0.02*$B105)+E$8)*((1+'User Inputs'!$E$12)^$B105)</f>
        <v>514494.93512515607</v>
      </c>
      <c r="F106" s="14">
        <f>(F$6*(1+0.02*$B105)+F$8)*((1+'User Inputs'!$E$12)^$B105)</f>
        <v>838315.05777107633</v>
      </c>
      <c r="G106" s="248"/>
      <c r="H106" s="4" t="s">
        <v>42</v>
      </c>
      <c r="I106" s="33">
        <v>7</v>
      </c>
      <c r="J106" s="14">
        <f>(J$6*(1+0.02*$B105)+J$8)*((1+'User Inputs'!$E$12)^$B105)</f>
        <v>218452.89056539192</v>
      </c>
      <c r="K106" s="14">
        <f>(K$6*(1+0.02*$B105)+K$8)*((1+'User Inputs'!$E$12)^$B105)</f>
        <v>263669.36521585652</v>
      </c>
      <c r="L106" s="14">
        <f>(L$6*(1+0.02*$B105)+L$8)*((1+'User Inputs'!$E$12)^$B105)</f>
        <v>364544.86615764006</v>
      </c>
      <c r="M106" s="14">
        <f>(M$6*(1+0.02*$B105)+M$8)*((1+'User Inputs'!$E$12)^$B105)</f>
        <v>662387.36107505416</v>
      </c>
      <c r="N106" s="248"/>
      <c r="O106" s="4" t="s">
        <v>42</v>
      </c>
      <c r="P106" s="33">
        <v>7</v>
      </c>
      <c r="Q106" s="14">
        <f>(Q$6*(1+0.02*$B105)+Q$8)*((1+'User Inputs'!$E$12)^$B105)</f>
        <v>397467.03808064264</v>
      </c>
      <c r="R106" s="14">
        <f>(R$6*(1+0.02*$B105)+R$8)*((1+'User Inputs'!$E$12)^$B105)</f>
        <v>378176.69060923246</v>
      </c>
      <c r="S106" s="14">
        <f>(S$6*(1+0.02*$B105)+S$8)*((1+'User Inputs'!$E$12)^$B105)</f>
        <v>664445.00409267202</v>
      </c>
      <c r="T106" s="14">
        <f>(T$6*(1+0.02*$B105)+T$8)*((1+'User Inputs'!$E$12)^$B105)</f>
        <v>1014242.7544670985</v>
      </c>
    </row>
    <row r="107" spans="1:20" x14ac:dyDescent="0.25">
      <c r="A107" s="4" t="s">
        <v>42</v>
      </c>
      <c r="B107" s="33">
        <v>8</v>
      </c>
      <c r="C107" s="14">
        <f>(C$6*(1+0.02*$B106)+C$8)*((1+'User Inputs'!$E$12)^$B106)</f>
        <v>316564.62586360704</v>
      </c>
      <c r="D107" s="14">
        <f>(D$6*(1+0.02*$B106)+D$8)*((1+'User Inputs'!$E$12)^$B106)</f>
        <v>330023.06366887694</v>
      </c>
      <c r="E107" s="14">
        <f>(E$6*(1+0.02*$B106)+E$8)*((1+'User Inputs'!$E$12)^$B106)</f>
        <v>530992.18304997031</v>
      </c>
      <c r="F107" s="14">
        <f>(F$6*(1+0.02*$B106)+F$8)*((1+'User Inputs'!$E$12)^$B106)</f>
        <v>867186.86038271675</v>
      </c>
      <c r="G107" s="248"/>
      <c r="H107" s="4" t="s">
        <v>42</v>
      </c>
      <c r="I107" s="33">
        <v>8</v>
      </c>
      <c r="J107" s="14">
        <f>(J$6*(1+0.02*$B106)+J$8)*((1+'User Inputs'!$E$12)^$B106)</f>
        <v>223637.1032159582</v>
      </c>
      <c r="K107" s="14">
        <f>(K$6*(1+0.02*$B106)+K$8)*((1+'User Inputs'!$E$12)^$B106)</f>
        <v>270581.49314770842</v>
      </c>
      <c r="L107" s="14">
        <f>(L$6*(1+0.02*$B106)+L$8)*((1+'User Inputs'!$E$12)^$B106)</f>
        <v>375311.87930405291</v>
      </c>
      <c r="M107" s="14">
        <f>(M$6*(1+0.02*$B106)+M$8)*((1+'User Inputs'!$E$12)^$B106)</f>
        <v>684536.2124200965</v>
      </c>
      <c r="N107" s="248"/>
      <c r="O107" s="4" t="s">
        <v>42</v>
      </c>
      <c r="P107" s="33">
        <v>8</v>
      </c>
      <c r="Q107" s="14">
        <f>(Q$6*(1+0.02*$B106)+Q$8)*((1+'User Inputs'!$E$12)^$B106)</f>
        <v>409492.14851125597</v>
      </c>
      <c r="R107" s="14">
        <f>(R$6*(1+0.02*$B106)+R$8)*((1+'User Inputs'!$E$12)^$B106)</f>
        <v>389464.63419004553</v>
      </c>
      <c r="S107" s="14">
        <f>(S$6*(1+0.02*$B106)+S$8)*((1+'User Inputs'!$E$12)^$B106)</f>
        <v>686672.48679588805</v>
      </c>
      <c r="T107" s="14">
        <f>(T$6*(1+0.02*$B106)+T$8)*((1+'User Inputs'!$E$12)^$B106)</f>
        <v>1049837.5083453371</v>
      </c>
    </row>
    <row r="108" spans="1:20" x14ac:dyDescent="0.25">
      <c r="A108" s="4" t="s">
        <v>42</v>
      </c>
      <c r="B108" s="33">
        <v>9</v>
      </c>
      <c r="C108" s="14">
        <f>(C$6*(1+0.02*$B107)+C$8)*((1+'User Inputs'!$E$12)^$B107)</f>
        <v>325390.28988009132</v>
      </c>
      <c r="D108" s="14">
        <f>(D$6*(1+0.02*$B107)+D$8)*((1+'User Inputs'!$E$12)^$B107)</f>
        <v>339358.73164429778</v>
      </c>
      <c r="E108" s="14">
        <f>(E$6*(1+0.02*$B107)+E$8)*((1+'User Inputs'!$E$12)^$B107)</f>
        <v>547943.52291772724</v>
      </c>
      <c r="F108" s="14">
        <f>(F$6*(1+0.02*$B107)+F$8)*((1+'User Inputs'!$E$12)^$B107)</f>
        <v>896878.20907571469</v>
      </c>
      <c r="G108" s="248"/>
      <c r="H108" s="4" t="s">
        <v>42</v>
      </c>
      <c r="I108" s="33">
        <v>9</v>
      </c>
      <c r="J108" s="14">
        <f>(J$6*(1+0.02*$B107)+J$8)*((1+'User Inputs'!$E$12)^$B107)</f>
        <v>228941.30321632104</v>
      </c>
      <c r="K108" s="14">
        <f>(K$6*(1+0.02*$B107)+K$8)*((1+'User Inputs'!$E$12)^$B107)</f>
        <v>277664.63845074811</v>
      </c>
      <c r="L108" s="14">
        <f>(L$6*(1+0.02*$B107)+L$8)*((1+'User Inputs'!$E$12)^$B107)</f>
        <v>386363.75502985925</v>
      </c>
      <c r="M108" s="14">
        <f>(M$6*(1+0.02*$B107)+M$8)*((1+'User Inputs'!$E$12)^$B107)</f>
        <v>707306.062874511</v>
      </c>
      <c r="N108" s="248"/>
      <c r="O108" s="4" t="s">
        <v>42</v>
      </c>
      <c r="P108" s="33">
        <v>9</v>
      </c>
      <c r="Q108" s="14">
        <f>(Q$6*(1+0.02*$B107)+Q$8)*((1+'User Inputs'!$E$12)^$B107)</f>
        <v>421839.27654386166</v>
      </c>
      <c r="R108" s="14">
        <f>(R$6*(1+0.02*$B107)+R$8)*((1+'User Inputs'!$E$12)^$B107)</f>
        <v>401052.82483784732</v>
      </c>
      <c r="S108" s="14">
        <f>(S$6*(1+0.02*$B107)+S$8)*((1+'User Inputs'!$E$12)^$B107)</f>
        <v>709523.29080559534</v>
      </c>
      <c r="T108" s="14">
        <f>(T$6*(1+0.02*$B107)+T$8)*((1+'User Inputs'!$E$12)^$B107)</f>
        <v>1086450.3552769183</v>
      </c>
    </row>
    <row r="109" spans="1:20" x14ac:dyDescent="0.25">
      <c r="A109" s="4" t="s">
        <v>42</v>
      </c>
      <c r="B109" s="33">
        <v>10</v>
      </c>
      <c r="C109" s="14">
        <f>(C$6*(1+0.02*$B108)+C$8)*((1+'User Inputs'!$E$12)^$B108)</f>
        <v>334442.35460688948</v>
      </c>
      <c r="D109" s="14">
        <f>(D$6*(1+0.02*$B108)+D$8)*((1+'User Inputs'!$E$12)^$B108)</f>
        <v>348935.81711326784</v>
      </c>
      <c r="E109" s="14">
        <f>(E$6*(1+0.02*$B108)+E$8)*((1+'User Inputs'!$E$12)^$B108)</f>
        <v>565360.5195069745</v>
      </c>
      <c r="F109" s="14">
        <f>(F$6*(1+0.02*$B108)+F$8)*((1+'User Inputs'!$E$12)^$B108)</f>
        <v>927410.33697227936</v>
      </c>
      <c r="G109" s="248"/>
      <c r="H109" s="4" t="s">
        <v>42</v>
      </c>
      <c r="I109" s="33">
        <v>10</v>
      </c>
      <c r="J109" s="14">
        <f>(J$6*(1+0.02*$B108)+J$8)*((1+'User Inputs'!$E$12)^$B108)</f>
        <v>234368.21637541198</v>
      </c>
      <c r="K109" s="14">
        <f>(K$6*(1+0.02*$B108)+K$8)*((1+'User Inputs'!$E$12)^$B108)</f>
        <v>284922.87696865026</v>
      </c>
      <c r="L109" s="14">
        <f>(L$6*(1+0.02*$B108)+L$8)*((1+'User Inputs'!$E$12)^$B108)</f>
        <v>397707.58103297633</v>
      </c>
      <c r="M109" s="14">
        <f>(M$6*(1+0.02*$B108)+M$8)*((1+'User Inputs'!$E$12)^$B108)</f>
        <v>730712.89286213403</v>
      </c>
      <c r="N109" s="248"/>
      <c r="O109" s="4" t="s">
        <v>42</v>
      </c>
      <c r="P109" s="33">
        <v>10</v>
      </c>
      <c r="Q109" s="14">
        <f>(Q$6*(1+0.02*$B108)+Q$8)*((1+'User Inputs'!$E$12)^$B108)</f>
        <v>434516.492838367</v>
      </c>
      <c r="R109" s="14">
        <f>(R$6*(1+0.02*$B108)+R$8)*((1+'User Inputs'!$E$12)^$B108)</f>
        <v>412948.75725788536</v>
      </c>
      <c r="S109" s="14">
        <f>(S$6*(1+0.02*$B108)+S$8)*((1+'User Inputs'!$E$12)^$B108)</f>
        <v>733013.45798097271</v>
      </c>
      <c r="T109" s="14">
        <f>(T$6*(1+0.02*$B108)+T$8)*((1+'User Inputs'!$E$12)^$B108)</f>
        <v>1124107.7810824248</v>
      </c>
    </row>
    <row r="110" spans="1:20" x14ac:dyDescent="0.25">
      <c r="A110" s="4" t="s">
        <v>42</v>
      </c>
      <c r="B110" s="33">
        <v>11</v>
      </c>
      <c r="C110" s="14">
        <f>(C$6*(1+0.02*$B109)+C$8)*((1+'User Inputs'!$E$12)^$B109)</f>
        <v>343726.34580680757</v>
      </c>
      <c r="D110" s="14">
        <f>(D$6*(1+0.02*$B109)+D$8)*((1+'User Inputs'!$E$12)^$B109)</f>
        <v>358760.242508339</v>
      </c>
      <c r="E110" s="14">
        <f>(E$6*(1+0.02*$B109)+E$8)*((1+'User Inputs'!$E$12)^$B109)</f>
        <v>583255.01855062461</v>
      </c>
      <c r="F110" s="14">
        <f>(F$6*(1+0.02*$B109)+F$8)*((1+'User Inputs'!$E$12)^$B109)</f>
        <v>958804.99870107637</v>
      </c>
      <c r="G110" s="248"/>
      <c r="H110" s="4" t="s">
        <v>42</v>
      </c>
      <c r="I110" s="33">
        <v>11</v>
      </c>
      <c r="J110" s="14">
        <f>(J$6*(1+0.02*$B109)+J$8)*((1+'User Inputs'!$E$12)^$B109)</f>
        <v>239920.62953958003</v>
      </c>
      <c r="K110" s="14">
        <f>(K$6*(1+0.02*$B109)+K$8)*((1+'User Inputs'!$E$12)^$B109)</f>
        <v>292360.37917188823</v>
      </c>
      <c r="L110" s="14">
        <f>(L$6*(1+0.02*$B109)+L$8)*((1+'User Inputs'!$E$12)^$B109)</f>
        <v>409350.61457420612</v>
      </c>
      <c r="M110" s="14">
        <f>(M$6*(1+0.02*$B109)+M$8)*((1+'User Inputs'!$E$12)^$B109)</f>
        <v>754773.07362411206</v>
      </c>
      <c r="N110" s="248"/>
      <c r="O110" s="4" t="s">
        <v>42</v>
      </c>
      <c r="P110" s="33">
        <v>11</v>
      </c>
      <c r="Q110" s="14">
        <f>(Q$6*(1+0.02*$B109)+Q$8)*((1+'User Inputs'!$E$12)^$B109)</f>
        <v>447532.06207403506</v>
      </c>
      <c r="R110" s="14">
        <f>(R$6*(1+0.02*$B109)+R$8)*((1+'User Inputs'!$E$12)^$B109)</f>
        <v>425160.10584478977</v>
      </c>
      <c r="S110" s="14">
        <f>(S$6*(1+0.02*$B109)+S$8)*((1+'User Inputs'!$E$12)^$B109)</f>
        <v>757159.42252704315</v>
      </c>
      <c r="T110" s="14">
        <f>(T$6*(1+0.02*$B109)+T$8)*((1+'User Inputs'!$E$12)^$B109)</f>
        <v>1162836.923778041</v>
      </c>
    </row>
    <row r="111" spans="1:20" x14ac:dyDescent="0.25">
      <c r="A111" s="4" t="s">
        <v>42</v>
      </c>
      <c r="B111" s="33">
        <v>12</v>
      </c>
      <c r="C111" s="14">
        <f>(C$6*(1+0.02*$B110)+C$8)*((1+'User Inputs'!$E$12)^$B110)</f>
        <v>353247.91971287952</v>
      </c>
      <c r="D111" s="14">
        <f>(D$6*(1+0.02*$B110)+D$8)*((1+'User Inputs'!$E$12)^$B110)</f>
        <v>368838.07059236761</v>
      </c>
      <c r="E111" s="14">
        <f>(E$6*(1+0.02*$B110)+E$8)*((1+'User Inputs'!$E$12)^$B110)</f>
        <v>601639.15334821783</v>
      </c>
      <c r="F111" s="14">
        <f>(F$6*(1+0.02*$B110)+F$8)*((1+'User Inputs'!$E$12)^$B110)</f>
        <v>991084.48276423616</v>
      </c>
      <c r="G111" s="248"/>
      <c r="H111" s="4" t="s">
        <v>42</v>
      </c>
      <c r="I111" s="33">
        <v>12</v>
      </c>
      <c r="J111" s="14">
        <f>(J$6*(1+0.02*$B110)+J$8)*((1+'User Inputs'!$E$12)^$B110)</f>
        <v>245601.39194376458</v>
      </c>
      <c r="K111" s="14">
        <f>(K$6*(1+0.02*$B110)+K$8)*((1+'User Inputs'!$E$12)^$B110)</f>
        <v>299981.41231246822</v>
      </c>
      <c r="L111" s="14">
        <f>(L$6*(1+0.02*$B110)+L$8)*((1+'User Inputs'!$E$12)^$B110)</f>
        <v>421300.28642467182</v>
      </c>
      <c r="M111" s="14">
        <f>(M$6*(1+0.02*$B110)+M$8)*((1+'User Inputs'!$E$12)^$B110)</f>
        <v>779503.37645942427</v>
      </c>
      <c r="N111" s="248"/>
      <c r="O111" s="4" t="s">
        <v>42</v>
      </c>
      <c r="P111" s="33">
        <v>12</v>
      </c>
      <c r="Q111" s="14">
        <f>(Q$6*(1+0.02*$B110)+Q$8)*((1+'User Inputs'!$E$12)^$B110)</f>
        <v>460894.44748199452</v>
      </c>
      <c r="R111" s="14">
        <f>(R$6*(1+0.02*$B110)+R$8)*((1+'User Inputs'!$E$12)^$B110)</f>
        <v>437694.72887226701</v>
      </c>
      <c r="S111" s="14">
        <f>(S$6*(1+0.02*$B110)+S$8)*((1+'User Inputs'!$E$12)^$B110)</f>
        <v>781978.02027176367</v>
      </c>
      <c r="T111" s="14">
        <f>(T$6*(1+0.02*$B110)+T$8)*((1+'User Inputs'!$E$12)^$B110)</f>
        <v>1202665.5890690484</v>
      </c>
    </row>
    <row r="112" spans="1:20" x14ac:dyDescent="0.25">
      <c r="A112" s="4" t="s">
        <v>42</v>
      </c>
      <c r="B112" s="33">
        <v>13</v>
      </c>
      <c r="C112" s="14">
        <f>(C$6*(1+0.02*$B111)+C$8)*((1+'User Inputs'!$E$12)^$B111)</f>
        <v>363012.86603687174</v>
      </c>
      <c r="D112" s="14">
        <f>(D$6*(1+0.02*$B111)+D$8)*((1+'User Inputs'!$E$12)^$B111)</f>
        <v>379175.50770275417</v>
      </c>
      <c r="E112" s="14">
        <f>(E$6*(1+0.02*$B111)+E$8)*((1+'User Inputs'!$E$12)^$B111)</f>
        <v>620525.35153029463</v>
      </c>
      <c r="F112" s="14">
        <f>(F$6*(1+0.02*$B111)+F$8)*((1+'User Inputs'!$E$12)^$B111)</f>
        <v>1024271.6241904423</v>
      </c>
      <c r="G112" s="248"/>
      <c r="H112" s="4" t="s">
        <v>42</v>
      </c>
      <c r="I112" s="33">
        <v>13</v>
      </c>
      <c r="J112" s="14">
        <f>(J$6*(1+0.02*$B111)+J$8)*((1+'User Inputs'!$E$12)^$B111)</f>
        <v>251413.41659230078</v>
      </c>
      <c r="K112" s="14">
        <f>(K$6*(1+0.02*$B111)+K$8)*((1+'User Inputs'!$E$12)^$B111)</f>
        <v>307790.34262700268</v>
      </c>
      <c r="L112" s="14">
        <f>(L$6*(1+0.02*$B111)+L$8)*((1+'User Inputs'!$E$12)^$B111)</f>
        <v>433564.20490332664</v>
      </c>
      <c r="M112" s="14">
        <f>(M$6*(1+0.02*$B111)+M$8)*((1+'User Inputs'!$E$12)^$B111)</f>
        <v>804920.98217869946</v>
      </c>
      <c r="N112" s="248"/>
      <c r="O112" s="4" t="s">
        <v>42</v>
      </c>
      <c r="P112" s="33">
        <v>13</v>
      </c>
      <c r="Q112" s="14">
        <f>(Q$6*(1+0.02*$B111)+Q$8)*((1+'User Inputs'!$E$12)^$B111)</f>
        <v>474612.31548144273</v>
      </c>
      <c r="R112" s="14">
        <f>(R$6*(1+0.02*$B111)+R$8)*((1+'User Inputs'!$E$12)^$B111)</f>
        <v>450560.6727785056</v>
      </c>
      <c r="S112" s="14">
        <f>(S$6*(1+0.02*$B111)+S$8)*((1+'User Inputs'!$E$12)^$B111)</f>
        <v>807486.49815726257</v>
      </c>
      <c r="T112" s="14">
        <f>(T$6*(1+0.02*$B111)+T$8)*((1+'User Inputs'!$E$12)^$B111)</f>
        <v>1243622.2662021855</v>
      </c>
    </row>
    <row r="113" spans="1:20" x14ac:dyDescent="0.25">
      <c r="A113" s="4" t="s">
        <v>42</v>
      </c>
      <c r="B113" s="33">
        <v>14</v>
      </c>
      <c r="C113" s="14">
        <f>(C$6*(1+0.02*$B112)+C$8)*((1+'User Inputs'!$E$12)^$B112)</f>
        <v>373027.11104593845</v>
      </c>
      <c r="D113" s="14">
        <f>(D$6*(1+0.02*$B112)+D$8)*((1+'User Inputs'!$E$12)^$B112)</f>
        <v>389778.90706931916</v>
      </c>
      <c r="E113" s="14">
        <f>(E$6*(1+0.02*$B112)+E$8)*((1+'User Inputs'!$E$12)^$B112)</f>
        <v>639926.34197831515</v>
      </c>
      <c r="F113" s="14">
        <f>(F$6*(1+0.02*$B112)+F$8)*((1+'User Inputs'!$E$12)^$B112)</f>
        <v>1058389.8174805909</v>
      </c>
      <c r="G113" s="248"/>
      <c r="H113" s="4" t="s">
        <v>42</v>
      </c>
      <c r="I113" s="33">
        <v>14</v>
      </c>
      <c r="J113" s="14">
        <f>(J$6*(1+0.02*$B112)+J$8)*((1+'User Inputs'!$E$12)^$B112)</f>
        <v>257359.68167000086</v>
      </c>
      <c r="K113" s="14">
        <f>(K$6*(1+0.02*$B112)+K$8)*((1+'User Inputs'!$E$12)^$B112)</f>
        <v>315791.63758919359</v>
      </c>
      <c r="L113" s="14">
        <f>(L$6*(1+0.02*$B112)+L$8)*((1+'User Inputs'!$E$12)^$B112)</f>
        <v>446150.16000655771</v>
      </c>
      <c r="M113" s="14">
        <f>(M$6*(1+0.02*$B112)+M$8)*((1+'User Inputs'!$E$12)^$B112)</f>
        <v>831043.49077616178</v>
      </c>
      <c r="N113" s="248"/>
      <c r="O113" s="4" t="s">
        <v>42</v>
      </c>
      <c r="P113" s="33">
        <v>14</v>
      </c>
      <c r="Q113" s="14">
        <f>(Q$6*(1+0.02*$B112)+Q$8)*((1+'User Inputs'!$E$12)^$B112)</f>
        <v>488694.54042187601</v>
      </c>
      <c r="R113" s="14">
        <f>(R$6*(1+0.02*$B112)+R$8)*((1+'User Inputs'!$E$12)^$B112)</f>
        <v>463766.17654944479</v>
      </c>
      <c r="S113" s="14">
        <f>(S$6*(1+0.02*$B112)+S$8)*((1+'User Inputs'!$E$12)^$B112)</f>
        <v>833702.5239500727</v>
      </c>
      <c r="T113" s="14">
        <f>(T$6*(1+0.02*$B112)+T$8)*((1+'User Inputs'!$E$12)^$B112)</f>
        <v>1285736.1441850199</v>
      </c>
    </row>
    <row r="114" spans="1:20" x14ac:dyDescent="0.25">
      <c r="A114" s="4" t="s">
        <v>42</v>
      </c>
      <c r="B114" s="33">
        <v>15</v>
      </c>
      <c r="C114" s="14">
        <f>(C$6*(1+0.02*$B113)+C$8)*((1+'User Inputs'!$E$12)^$B113)</f>
        <v>383296.72070895316</v>
      </c>
      <c r="D114" s="14">
        <f>(D$6*(1+0.02*$B113)+D$8)*((1+'User Inputs'!$E$12)^$B113)</f>
        <v>400654.77220746566</v>
      </c>
      <c r="E114" s="14">
        <f>(E$6*(1+0.02*$B113)+E$8)*((1+'User Inputs'!$E$12)^$B113)</f>
        <v>659855.16190364445</v>
      </c>
      <c r="F114" s="14">
        <f>(F$6*(1+0.02*$B113)+F$8)*((1+'User Inputs'!$E$12)^$B113)</f>
        <v>1093463.029852669</v>
      </c>
      <c r="G114" s="248"/>
      <c r="H114" s="4" t="s">
        <v>42</v>
      </c>
      <c r="I114" s="33">
        <v>15</v>
      </c>
      <c r="J114" s="14">
        <f>(J$6*(1+0.02*$B113)+J$8)*((1+'User Inputs'!$E$12)^$B113)</f>
        <v>263443.23198417207</v>
      </c>
      <c r="K114" s="14">
        <f>(K$6*(1+0.02*$B113)+K$8)*((1+'User Inputs'!$E$12)^$B113)</f>
        <v>323989.86821282125</v>
      </c>
      <c r="L114" s="14">
        <f>(L$6*(1+0.02*$B113)+L$8)*((1+'User Inputs'!$E$12)^$B113)</f>
        <v>459066.12763195671</v>
      </c>
      <c r="M114" s="14">
        <f>(M$6*(1+0.02*$B113)+M$8)*((1+'User Inputs'!$E$12)^$B113)</f>
        <v>857888.93132465112</v>
      </c>
      <c r="N114" s="248"/>
      <c r="O114" s="4" t="s">
        <v>42</v>
      </c>
      <c r="P114" s="33">
        <v>15</v>
      </c>
      <c r="Q114" s="14">
        <f>(Q$6*(1+0.02*$B113)+Q$8)*((1+'User Inputs'!$E$12)^$B113)</f>
        <v>503150.20943373424</v>
      </c>
      <c r="R114" s="14">
        <f>(R$6*(1+0.02*$B113)+R$8)*((1+'User Inputs'!$E$12)^$B113)</f>
        <v>477319.67620211019</v>
      </c>
      <c r="S114" s="14">
        <f>(S$6*(1+0.02*$B113)+S$8)*((1+'User Inputs'!$E$12)^$B113)</f>
        <v>860644.1961753323</v>
      </c>
      <c r="T114" s="14">
        <f>(T$6*(1+0.02*$B113)+T$8)*((1+'User Inputs'!$E$12)^$B113)</f>
        <v>1329037.1283806872</v>
      </c>
    </row>
    <row r="115" spans="1:20" x14ac:dyDescent="0.25">
      <c r="A115" s="4" t="s">
        <v>42</v>
      </c>
      <c r="B115" s="33">
        <v>16</v>
      </c>
      <c r="C115" s="14">
        <f>(C$6*(1+0.02*$B114)+C$8)*((1+'User Inputs'!$E$12)^$B114)</f>
        <v>393827.90391406987</v>
      </c>
      <c r="D115" s="14">
        <f>(D$6*(1+0.02*$B114)+D$8)*((1+'User Inputs'!$E$12)^$B114)</f>
        <v>411809.76038831018</v>
      </c>
      <c r="E115" s="14">
        <f>(E$6*(1+0.02*$B114)+E$8)*((1+'User Inputs'!$E$12)^$B114)</f>
        <v>680325.16408919531</v>
      </c>
      <c r="F115" s="14">
        <f>(F$6*(1+0.02*$B114)+F$8)*((1+'User Inputs'!$E$12)^$B114)</f>
        <v>1129515.8147926379</v>
      </c>
      <c r="G115" s="104"/>
      <c r="H115" s="4" t="s">
        <v>42</v>
      </c>
      <c r="I115" s="33">
        <v>16</v>
      </c>
      <c r="J115" s="14">
        <f>(J$6*(1+0.02*$B114)+J$8)*((1+'User Inputs'!$E$12)^$B114)</f>
        <v>269667.18043824204</v>
      </c>
      <c r="K115" s="14">
        <f>(K$6*(1+0.02*$B114)+K$8)*((1+'User Inputs'!$E$12)^$B114)</f>
        <v>332389.71140635828</v>
      </c>
      <c r="L115" s="14">
        <f>(L$6*(1+0.02*$B114)+L$8)*((1+'User Inputs'!$E$12)^$B114)</f>
        <v>472320.27389836882</v>
      </c>
      <c r="M115" s="14">
        <f>(M$6*(1+0.02*$B114)+M$8)*((1+'User Inputs'!$E$12)^$B114)</f>
        <v>885475.77209876943</v>
      </c>
      <c r="N115" s="248"/>
      <c r="O115" s="4" t="s">
        <v>42</v>
      </c>
      <c r="P115" s="33">
        <v>16</v>
      </c>
      <c r="Q115" s="14">
        <f>(Q$6*(1+0.02*$B114)+Q$8)*((1+'User Inputs'!$E$12)^$B114)</f>
        <v>517988.62738989771</v>
      </c>
      <c r="R115" s="14">
        <f>(R$6*(1+0.02*$B114)+R$8)*((1+'User Inputs'!$E$12)^$B114)</f>
        <v>491229.8093702622</v>
      </c>
      <c r="S115" s="14">
        <f>(S$6*(1+0.02*$B114)+S$8)*((1+'User Inputs'!$E$12)^$B114)</f>
        <v>888330.05428002193</v>
      </c>
      <c r="T115" s="14">
        <f>(T$6*(1+0.02*$B114)+T$8)*((1+'User Inputs'!$E$12)^$B114)</f>
        <v>1373555.8574865067</v>
      </c>
    </row>
    <row r="116" spans="1:20" x14ac:dyDescent="0.25">
      <c r="A116" s="4" t="s">
        <v>42</v>
      </c>
      <c r="B116" s="33">
        <v>17</v>
      </c>
      <c r="C116" s="14">
        <f>(C$6*(1+0.02*$B115)+C$8)*((1+'User Inputs'!$E$12)^$B115)</f>
        <v>404627.01575910795</v>
      </c>
      <c r="D116" s="14">
        <f>(D$6*(1+0.02*$B115)+D$8)*((1+'User Inputs'!$E$12)^$B115)</f>
        <v>423250.68618750572</v>
      </c>
      <c r="E116" s="14">
        <f>(E$6*(1+0.02*$B115)+E$8)*((1+'User Inputs'!$E$12)^$B115)</f>
        <v>701350.02429740713</v>
      </c>
      <c r="F116" s="14">
        <f>(F$6*(1+0.02*$B115)+F$8)*((1+'User Inputs'!$E$12)^$B115)</f>
        <v>1166573.3259182649</v>
      </c>
      <c r="G116" s="104"/>
      <c r="H116" s="4" t="s">
        <v>42</v>
      </c>
      <c r="I116" s="33">
        <v>17</v>
      </c>
      <c r="J116" s="14">
        <f>(J$6*(1+0.02*$B115)+J$8)*((1+'User Inputs'!$E$12)^$B115)</f>
        <v>276034.70953768125</v>
      </c>
      <c r="K116" s="14">
        <f>(K$6*(1+0.02*$B115)+K$8)*((1+'User Inputs'!$E$12)^$B115)</f>
        <v>340995.95238035178</v>
      </c>
      <c r="L116" s="14">
        <f>(L$6*(1+0.02*$B115)+L$8)*((1+'User Inputs'!$E$12)^$B115)</f>
        <v>485920.95956438489</v>
      </c>
      <c r="M116" s="14">
        <f>(M$6*(1+0.02*$B115)+M$8)*((1+'User Inputs'!$E$12)^$B115)</f>
        <v>913822.93093132298</v>
      </c>
      <c r="N116" s="248"/>
      <c r="O116" s="4" t="s">
        <v>42</v>
      </c>
      <c r="P116" s="33">
        <v>17</v>
      </c>
      <c r="Q116" s="14">
        <f>(Q$6*(1+0.02*$B115)+Q$8)*((1+'User Inputs'!$E$12)^$B115)</f>
        <v>533219.32198053447</v>
      </c>
      <c r="R116" s="14">
        <f>(R$6*(1+0.02*$B115)+R$8)*((1+'User Inputs'!$E$12)^$B115)</f>
        <v>505505.41999465966</v>
      </c>
      <c r="S116" s="14">
        <f>(S$6*(1+0.02*$B115)+S$8)*((1+'User Inputs'!$E$12)^$B115)</f>
        <v>916779.08903042937</v>
      </c>
      <c r="T116" s="14">
        <f>(T$6*(1+0.02*$B115)+T$8)*((1+'User Inputs'!$E$12)^$B115)</f>
        <v>1419323.7209052071</v>
      </c>
    </row>
    <row r="117" spans="1:20" x14ac:dyDescent="0.25">
      <c r="A117" s="4" t="s">
        <v>42</v>
      </c>
      <c r="B117" s="33">
        <v>18</v>
      </c>
      <c r="C117" s="14">
        <f>(C$6*(1+0.02*$B116)+C$8)*((1+'User Inputs'!$E$12)^$B116)</f>
        <v>415700.56091638177</v>
      </c>
      <c r="D117" s="14">
        <f>(D$6*(1+0.02*$B116)+D$8)*((1+'User Inputs'!$E$12)^$B116)</f>
        <v>434984.52511451376</v>
      </c>
      <c r="E117" s="14">
        <f>(E$6*(1+0.02*$B116)+E$8)*((1+'User Inputs'!$E$12)^$B116)</f>
        <v>722943.7488483116</v>
      </c>
      <c r="F117" s="14">
        <f>(F$6*(1+0.02*$B116)+F$8)*((1+'User Inputs'!$E$12)^$B116)</f>
        <v>1204661.3311629998</v>
      </c>
      <c r="G117" s="104"/>
      <c r="H117" s="4" t="s">
        <v>42</v>
      </c>
      <c r="I117" s="33">
        <v>18</v>
      </c>
      <c r="J117" s="14">
        <f>(J$6*(1+0.02*$B116)+J$8)*((1+'User Inputs'!$E$12)^$B116)</f>
        <v>282549.07292892272</v>
      </c>
      <c r="K117" s="14">
        <f>(K$6*(1+0.02*$B116)+K$8)*((1+'User Inputs'!$E$12)^$B116)</f>
        <v>349813.48710874247</v>
      </c>
      <c r="L117" s="14">
        <f>(L$6*(1+0.02*$B116)+L$8)*((1+'User Inputs'!$E$12)^$B116)</f>
        <v>499876.74454748229</v>
      </c>
      <c r="M117" s="14">
        <f>(M$6*(1+0.02*$B116)+M$8)*((1+'User Inputs'!$E$12)^$B116)</f>
        <v>942949.78580833913</v>
      </c>
      <c r="N117" s="248"/>
      <c r="O117" s="4" t="s">
        <v>42</v>
      </c>
      <c r="P117" s="33">
        <v>18</v>
      </c>
      <c r="Q117" s="14">
        <f>(Q$6*(1+0.02*$B116)+Q$8)*((1+'User Inputs'!$E$12)^$B116)</f>
        <v>548852.04890384083</v>
      </c>
      <c r="R117" s="14">
        <f>(R$6*(1+0.02*$B116)+R$8)*((1+'User Inputs'!$E$12)^$B116)</f>
        <v>520155.56312028499</v>
      </c>
      <c r="S117" s="14">
        <f>(S$6*(1+0.02*$B116)+S$8)*((1+'User Inputs'!$E$12)^$B116)</f>
        <v>946010.75314914109</v>
      </c>
      <c r="T117" s="14">
        <f>(T$6*(1+0.02*$B116)+T$8)*((1+'User Inputs'!$E$12)^$B116)</f>
        <v>1466372.8765176609</v>
      </c>
    </row>
    <row r="118" spans="1:20" x14ac:dyDescent="0.25">
      <c r="A118" s="4" t="s">
        <v>42</v>
      </c>
      <c r="B118" s="33">
        <v>19</v>
      </c>
      <c r="C118" s="14">
        <f>(C$6*(1+0.02*$B117)+C$8)*((1+'User Inputs'!$E$12)^$B117)</f>
        <v>427055.1970736428</v>
      </c>
      <c r="D118" s="14">
        <f>(D$6*(1+0.02*$B117)+D$8)*((1+'User Inputs'!$E$12)^$B117)</f>
        <v>447018.41732412693</v>
      </c>
      <c r="E118" s="14">
        <f>(E$6*(1+0.02*$B117)+E$8)*((1+'User Inputs'!$E$12)^$B117)</f>
        <v>745120.68237153313</v>
      </c>
      <c r="F118" s="14">
        <f>(F$6*(1+0.02*$B117)+F$8)*((1+'User Inputs'!$E$12)^$B117)</f>
        <v>1243806.2272871567</v>
      </c>
      <c r="G118" s="104"/>
      <c r="H118" s="4" t="s">
        <v>42</v>
      </c>
      <c r="I118" s="33">
        <v>19</v>
      </c>
      <c r="J118" s="14">
        <f>(J$6*(1+0.02*$B117)+J$8)*((1+'User Inputs'!$E$12)^$B117)</f>
        <v>289213.59697199869</v>
      </c>
      <c r="K118" s="14">
        <f>(K$6*(1+0.02*$B117)+K$8)*((1+'User Inputs'!$E$12)^$B117)</f>
        <v>358847.32484531659</v>
      </c>
      <c r="L118" s="14">
        <f>(L$6*(1+0.02*$B117)+L$8)*((1+'User Inputs'!$E$12)^$B117)</f>
        <v>514196.39254607755</v>
      </c>
      <c r="M118" s="14">
        <f>(M$6*(1+0.02*$B117)+M$8)*((1+'User Inputs'!$E$12)^$B117)</f>
        <v>972876.18570806296</v>
      </c>
      <c r="N118" s="248"/>
      <c r="O118" s="4" t="s">
        <v>42</v>
      </c>
      <c r="P118" s="33">
        <v>19</v>
      </c>
      <c r="Q118" s="14">
        <f>(Q$6*(1+0.02*$B117)+Q$8)*((1+'User Inputs'!$E$12)^$B117)</f>
        <v>564896.79717528692</v>
      </c>
      <c r="R118" s="14">
        <f>(R$6*(1+0.02*$B117)+R$8)*((1+'User Inputs'!$E$12)^$B117)</f>
        <v>535189.50980293727</v>
      </c>
      <c r="S118" s="14">
        <f>(S$6*(1+0.02*$B117)+S$8)*((1+'User Inputs'!$E$12)^$B117)</f>
        <v>976044.97219698865</v>
      </c>
      <c r="T118" s="14">
        <f>(T$6*(1+0.02*$B117)+T$8)*((1+'User Inputs'!$E$12)^$B117)</f>
        <v>1514736.2688662505</v>
      </c>
    </row>
    <row r="119" spans="1:20" x14ac:dyDescent="0.25">
      <c r="A119" s="4" t="s">
        <v>42</v>
      </c>
      <c r="B119" s="33">
        <v>20</v>
      </c>
      <c r="C119" s="14">
        <f>(C$6*(1+0.02*$B118)+C$8)*((1+'User Inputs'!$E$12)^$B118)</f>
        <v>438697.73845282785</v>
      </c>
      <c r="D119" s="14">
        <f>(D$6*(1+0.02*$B118)+D$8)*((1+'User Inputs'!$E$12)^$B118)</f>
        <v>459359.67141207895</v>
      </c>
      <c r="E119" s="14">
        <f>(E$6*(1+0.02*$B118)+E$8)*((1+'User Inputs'!$E$12)^$B118)</f>
        <v>767895.51573614415</v>
      </c>
      <c r="F119" s="14">
        <f>(F$6*(1+0.02*$B118)+F$8)*((1+'User Inputs'!$E$12)^$B118)</f>
        <v>1284035.0547238146</v>
      </c>
      <c r="G119" s="104"/>
      <c r="H119" s="4" t="s">
        <v>42</v>
      </c>
      <c r="I119" s="33">
        <v>20</v>
      </c>
      <c r="J119" s="14">
        <f>(J$6*(1+0.02*$B118)+J$8)*((1+'User Inputs'!$E$12)^$B118)</f>
        <v>296031.68234762613</v>
      </c>
      <c r="K119" s="14">
        <f>(K$6*(1+0.02*$B118)+K$8)*((1+'User Inputs'!$E$12)^$B118)</f>
        <v>368102.59069651016</v>
      </c>
      <c r="L119" s="14">
        <f>(L$6*(1+0.02*$B118)+L$8)*((1+'User Inputs'!$E$12)^$B118)</f>
        <v>528888.87576679781</v>
      </c>
      <c r="M119" s="14">
        <f>(M$6*(1+0.02*$B118)+M$8)*((1+'User Inputs'!$E$12)^$B118)</f>
        <v>1003622.4616894528</v>
      </c>
      <c r="N119" s="248"/>
      <c r="O119" s="4" t="s">
        <v>42</v>
      </c>
      <c r="P119" s="33">
        <v>20</v>
      </c>
      <c r="Q119" s="14">
        <f>(Q$6*(1+0.02*$B118)+Q$8)*((1+'User Inputs'!$E$12)^$B118)</f>
        <v>581363.79455802951</v>
      </c>
      <c r="R119" s="14">
        <f>(R$6*(1+0.02*$B118)+R$8)*((1+'User Inputs'!$E$12)^$B118)</f>
        <v>550616.75212764752</v>
      </c>
      <c r="S119" s="14">
        <f>(S$6*(1+0.02*$B118)+S$8)*((1+'User Inputs'!$E$12)^$B118)</f>
        <v>1006902.1557054907</v>
      </c>
      <c r="T119" s="14">
        <f>(T$6*(1+0.02*$B118)+T$8)*((1+'User Inputs'!$E$12)^$B118)</f>
        <v>1564447.6477581766</v>
      </c>
    </row>
    <row r="120" spans="1:20" x14ac:dyDescent="0.25">
      <c r="A120" s="4" t="s">
        <v>42</v>
      </c>
      <c r="B120" s="33">
        <v>21</v>
      </c>
      <c r="C120" s="14">
        <f>(C$6*(1+0.02*$B119)+C$8)*((1+'User Inputs'!$E$12)^$B119)</f>
        <v>450635.15940835088</v>
      </c>
      <c r="D120" s="14">
        <f>(D$6*(1+0.02*$B119)+D$8)*((1+'User Inputs'!$E$12)^$B119)</f>
        <v>472015.7682966193</v>
      </c>
      <c r="E120" s="14">
        <f>(E$6*(1+0.02*$B119)+E$8)*((1+'User Inputs'!$E$12)^$B119)</f>
        <v>791283.29416239134</v>
      </c>
      <c r="F120" s="14">
        <f>(F$6*(1+0.02*$B119)+F$8)*((1+'User Inputs'!$E$12)^$B119)</f>
        <v>1325375.5127670243</v>
      </c>
      <c r="G120" s="104"/>
      <c r="H120" s="4" t="s">
        <v>42</v>
      </c>
      <c r="I120" s="33">
        <v>21</v>
      </c>
      <c r="J120" s="14">
        <f>(J$6*(1+0.02*$B119)+J$8)*((1+'User Inputs'!$E$12)^$B119)</f>
        <v>303006.80569948995</v>
      </c>
      <c r="K120" s="14">
        <f>(K$6*(1+0.02*$B119)+K$8)*((1+'User Inputs'!$E$12)^$B119)</f>
        <v>377584.52825181343</v>
      </c>
      <c r="L120" s="14">
        <f>(L$6*(1+0.02*$B119)+L$8)*((1+'User Inputs'!$E$12)^$B119)</f>
        <v>543963.37975932856</v>
      </c>
      <c r="M120" s="14">
        <f>(M$6*(1+0.02*$B119)+M$8)*((1+'User Inputs'!$E$12)^$B119)</f>
        <v>1035209.438235815</v>
      </c>
      <c r="N120" s="248"/>
      <c r="O120" s="4" t="s">
        <v>42</v>
      </c>
      <c r="P120" s="33">
        <v>21</v>
      </c>
      <c r="Q120" s="14">
        <f>(Q$6*(1+0.02*$B119)+Q$8)*((1+'User Inputs'!$E$12)^$B119)</f>
        <v>598263.51311721187</v>
      </c>
      <c r="R120" s="14">
        <f>(R$6*(1+0.02*$B119)+R$8)*((1+'User Inputs'!$E$12)^$B119)</f>
        <v>566447.00834142521</v>
      </c>
      <c r="S120" s="14">
        <f>(S$6*(1+0.02*$B119)+S$8)*((1+'User Inputs'!$E$12)^$B119)</f>
        <v>1038603.2085654543</v>
      </c>
      <c r="T120" s="14">
        <f>(T$6*(1+0.02*$B119)+T$8)*((1+'User Inputs'!$E$12)^$B119)</f>
        <v>1615541.5872982338</v>
      </c>
    </row>
    <row r="121" spans="1:20" x14ac:dyDescent="0.25">
      <c r="A121" s="4" t="s">
        <v>42</v>
      </c>
      <c r="B121" s="33">
        <v>22</v>
      </c>
      <c r="C121" s="14">
        <f>(C$6*(1+0.02*$B120)+C$8)*((1+'User Inputs'!$E$12)^$B120)</f>
        <v>462874.59810671356</v>
      </c>
      <c r="D121" s="14">
        <f>(D$6*(1+0.02*$B120)+D$8)*((1+'User Inputs'!$E$12)^$B120)</f>
        <v>484994.36518797651</v>
      </c>
      <c r="E121" s="14">
        <f>(E$6*(1+0.02*$B120)+E$8)*((1+'User Inputs'!$E$12)^$B120)</f>
        <v>815299.42551939387</v>
      </c>
      <c r="F121" s="14">
        <f>(F$6*(1+0.02*$B120)+F$8)*((1+'User Inputs'!$E$12)^$B120)</f>
        <v>1367855.9751100724</v>
      </c>
      <c r="G121" s="104"/>
      <c r="H121" s="4" t="s">
        <v>42</v>
      </c>
      <c r="I121" s="33">
        <v>22</v>
      </c>
      <c r="J121" s="14">
        <f>(J$6*(1+0.02*$B120)+J$8)*((1+'User Inputs'!$E$12)^$B120)</f>
        <v>310142.52131248923</v>
      </c>
      <c r="K121" s="14">
        <f>(K$6*(1+0.02*$B120)+K$8)*((1+'User Inputs'!$E$12)^$B120)</f>
        <v>387298.5022730502</v>
      </c>
      <c r="L121" s="14">
        <f>(L$6*(1+0.02*$B120)+L$8)*((1+'User Inputs'!$E$12)^$B120)</f>
        <v>559429.3083612537</v>
      </c>
      <c r="M121" s="14">
        <f>(M$6*(1+0.02*$B120)+M$8)*((1+'User Inputs'!$E$12)^$B120)</f>
        <v>1067658.4448593557</v>
      </c>
      <c r="N121" s="248"/>
      <c r="O121" s="4" t="s">
        <v>42</v>
      </c>
      <c r="P121" s="33">
        <v>22</v>
      </c>
      <c r="Q121" s="14">
        <f>(Q$6*(1+0.02*$B120)+Q$8)*((1+'User Inputs'!$E$12)^$B120)</f>
        <v>615606.67490093806</v>
      </c>
      <c r="R121" s="14">
        <f>(R$6*(1+0.02*$B120)+R$8)*((1+'User Inputs'!$E$12)^$B120)</f>
        <v>582690.22810290277</v>
      </c>
      <c r="S121" s="14">
        <f>(S$6*(1+0.02*$B120)+S$8)*((1+'User Inputs'!$E$12)^$B120)</f>
        <v>1071169.542677534</v>
      </c>
      <c r="T121" s="14">
        <f>(T$6*(1+0.02*$B120)+T$8)*((1+'User Inputs'!$E$12)^$B120)</f>
        <v>1668053.5053607896</v>
      </c>
    </row>
    <row r="122" spans="1:20" x14ac:dyDescent="0.25">
      <c r="A122" s="4" t="s">
        <v>42</v>
      </c>
      <c r="B122" s="33">
        <v>23</v>
      </c>
      <c r="C122" s="14">
        <f>(C$6*(1+0.02*$B121)+C$8)*((1+'User Inputs'!$E$12)^$B121)</f>
        <v>475423.36028924759</v>
      </c>
      <c r="D122" s="14">
        <f>(D$6*(1+0.02*$B121)+D$8)*((1+'User Inputs'!$E$12)^$B121)</f>
        <v>498303.29964766937</v>
      </c>
      <c r="E122" s="14">
        <f>(E$6*(1+0.02*$B121)+E$8)*((1+'User Inputs'!$E$12)^$B121)</f>
        <v>839959.68881301139</v>
      </c>
      <c r="F122" s="14">
        <f>(F$6*(1+0.02*$B121)+F$8)*((1+'User Inputs'!$E$12)^$B121)</f>
        <v>1411505.5057417362</v>
      </c>
      <c r="G122" s="104"/>
      <c r="H122" s="4" t="s">
        <v>42</v>
      </c>
      <c r="I122" s="33">
        <v>23</v>
      </c>
      <c r="J122" s="14">
        <f>(J$6*(1+0.02*$B121)+J$8)*((1+'User Inputs'!$E$12)^$B121)</f>
        <v>317442.46282772871</v>
      </c>
      <c r="K122" s="14">
        <f>(K$6*(1+0.02*$B121)+K$8)*((1+'User Inputs'!$E$12)^$B121)</f>
        <v>397250.00144383573</v>
      </c>
      <c r="L122" s="14">
        <f>(L$6*(1+0.02*$B121)+L$8)*((1+'User Inputs'!$E$12)^$B121)</f>
        <v>575296.28875535203</v>
      </c>
      <c r="M122" s="14">
        <f>(M$6*(1+0.02*$B121)+M$8)*((1+'User Inputs'!$E$12)^$B121)</f>
        <v>1100991.3279725439</v>
      </c>
      <c r="N122" s="248"/>
      <c r="O122" s="4" t="s">
        <v>42</v>
      </c>
      <c r="P122" s="33">
        <v>23</v>
      </c>
      <c r="Q122" s="14">
        <f>(Q$6*(1+0.02*$B121)+Q$8)*((1+'User Inputs'!$E$12)^$B121)</f>
        <v>633404.25775076647</v>
      </c>
      <c r="R122" s="14">
        <f>(R$6*(1+0.02*$B121)+R$8)*((1+'User Inputs'!$E$12)^$B121)</f>
        <v>599356.59785150294</v>
      </c>
      <c r="S122" s="14">
        <f>(S$6*(1+0.02*$B121)+S$8)*((1+'User Inputs'!$E$12)^$B121)</f>
        <v>1104623.0888706709</v>
      </c>
      <c r="T122" s="14">
        <f>(T$6*(1+0.02*$B121)+T$8)*((1+'User Inputs'!$E$12)^$B121)</f>
        <v>1722019.6835109284</v>
      </c>
    </row>
    <row r="123" spans="1:20" x14ac:dyDescent="0.25">
      <c r="A123" s="4" t="s">
        <v>42</v>
      </c>
      <c r="B123" s="33">
        <v>24</v>
      </c>
      <c r="C123" s="14">
        <f>(C$6*(1+0.02*$B122)+C$8)*((1+'User Inputs'!$E$12)^$B122)</f>
        <v>488288.92311984015</v>
      </c>
      <c r="D123" s="14">
        <f>(D$6*(1+0.02*$B122)+D$8)*((1+'User Inputs'!$E$12)^$B122)</f>
        <v>511950.59373967454</v>
      </c>
      <c r="E123" s="14">
        <f>(E$6*(1+0.02*$B122)+E$8)*((1+'User Inputs'!$E$12)^$B122)</f>
        <v>865280.24286816572</v>
      </c>
      <c r="F123" s="14">
        <f>(F$6*(1+0.02*$B122)+F$8)*((1+'User Inputs'!$E$12)^$B122)</f>
        <v>1456353.8752086218</v>
      </c>
      <c r="G123" s="104"/>
      <c r="H123" s="4" t="s">
        <v>42</v>
      </c>
      <c r="I123" s="33">
        <v>24</v>
      </c>
      <c r="J123" s="14">
        <f>(J$6*(1+0.02*$B122)+J$8)*((1+'User Inputs'!$E$12)^$B122)</f>
        <v>324910.34499505273</v>
      </c>
      <c r="K123" s="14">
        <f>(K$6*(1+0.02*$B122)+K$8)*((1+'User Inputs'!$E$12)^$B122)</f>
        <v>407444.64118054335</v>
      </c>
      <c r="L123" s="14">
        <f>(L$6*(1+0.02*$B122)+L$8)*((1+'User Inputs'!$E$12)^$B122)</f>
        <v>591574.17664186982</v>
      </c>
      <c r="M123" s="14">
        <f>(M$6*(1+0.02*$B122)+M$8)*((1+'User Inputs'!$E$12)^$B122)</f>
        <v>1135230.4630323155</v>
      </c>
      <c r="N123" s="248"/>
      <c r="O123" s="4" t="s">
        <v>42</v>
      </c>
      <c r="P123" s="33">
        <v>24</v>
      </c>
      <c r="Q123" s="14">
        <f>(Q$6*(1+0.02*$B122)+Q$8)*((1+'User Inputs'!$E$12)^$B122)</f>
        <v>651667.50124462752</v>
      </c>
      <c r="R123" s="14">
        <f>(R$6*(1+0.02*$B122)+R$8)*((1+'User Inputs'!$E$12)^$B122)</f>
        <v>616456.54629880586</v>
      </c>
      <c r="S123" s="14">
        <f>(S$6*(1+0.02*$B122)+S$8)*((1+'User Inputs'!$E$12)^$B122)</f>
        <v>1138986.3090944618</v>
      </c>
      <c r="T123" s="14">
        <f>(T$6*(1+0.02*$B122)+T$8)*((1+'User Inputs'!$E$12)^$B122)</f>
        <v>1777477.287384928</v>
      </c>
    </row>
    <row r="124" spans="1:20" x14ac:dyDescent="0.25">
      <c r="A124" s="4" t="s">
        <v>42</v>
      </c>
      <c r="B124" s="33">
        <v>25</v>
      </c>
      <c r="C124" s="14">
        <f>(C$6*(1+0.02*$B123)+C$8)*((1+'User Inputs'!$E$12)^$B123)</f>
        <v>501478.93911954068</v>
      </c>
      <c r="D124" s="14">
        <f>(D$6*(1+0.02*$B123)+D$8)*((1+'User Inputs'!$E$12)^$B123)</f>
        <v>525944.45827550115</v>
      </c>
      <c r="E124" s="14">
        <f>(E$6*(1+0.02*$B123)+E$8)*((1+'User Inputs'!$E$12)^$B123)</f>
        <v>891277.63521000138</v>
      </c>
      <c r="F124" s="14">
        <f>(F$6*(1+0.02*$B123)+F$8)*((1+'User Inputs'!$E$12)^$B123)</f>
        <v>1502431.5772518867</v>
      </c>
      <c r="G124" s="104"/>
      <c r="H124" s="4" t="s">
        <v>42</v>
      </c>
      <c r="I124" s="33">
        <v>25</v>
      </c>
      <c r="J124" s="14">
        <f>(J$6*(1+0.02*$B123)+J$8)*((1+'User Inputs'!$E$12)^$B123)</f>
        <v>332549.96546393866</v>
      </c>
      <c r="K124" s="14">
        <f>(K$6*(1+0.02*$B123)+K$8)*((1+'User Inputs'!$E$12)^$B123)</f>
        <v>417888.16650614189</v>
      </c>
      <c r="L124" s="14">
        <f>(L$6*(1+0.02*$B123)+L$8)*((1+'User Inputs'!$E$12)^$B123)</f>
        <v>608273.06152834615</v>
      </c>
      <c r="M124" s="14">
        <f>(M$6*(1+0.02*$B123)+M$8)*((1+'User Inputs'!$E$12)^$B123)</f>
        <v>1170398.7669632894</v>
      </c>
      <c r="N124" s="248"/>
      <c r="O124" s="4" t="s">
        <v>42</v>
      </c>
      <c r="P124" s="33">
        <v>25</v>
      </c>
      <c r="Q124" s="14">
        <f>(Q$6*(1+0.02*$B123)+Q$8)*((1+'User Inputs'!$E$12)^$B123)</f>
        <v>670407.91277514282</v>
      </c>
      <c r="R124" s="14">
        <f>(R$6*(1+0.02*$B123)+R$8)*((1+'User Inputs'!$E$12)^$B123)</f>
        <v>634000.75004486041</v>
      </c>
      <c r="S124" s="14">
        <f>(S$6*(1+0.02*$B123)+S$8)*((1+'User Inputs'!$E$12)^$B123)</f>
        <v>1174282.2088916565</v>
      </c>
      <c r="T124" s="14">
        <f>(T$6*(1+0.02*$B123)+T$8)*((1+'User Inputs'!$E$12)^$B123)</f>
        <v>1834464.3875404838</v>
      </c>
    </row>
    <row r="125" spans="1:20" x14ac:dyDescent="0.25">
      <c r="A125" s="4" t="s">
        <v>42</v>
      </c>
      <c r="B125" s="33">
        <v>26</v>
      </c>
      <c r="C125" s="14">
        <f>(C$6*(1+0.02*$B124)+C$8)*((1+'User Inputs'!$E$12)^$B124)</f>
        <v>515001.24018998153</v>
      </c>
      <c r="D125" s="14">
        <f>(D$6*(1+0.02*$B124)+D$8)*((1+'User Inputs'!$E$12)^$B124)</f>
        <v>540293.29715526477</v>
      </c>
      <c r="E125" s="14">
        <f>(E$6*(1+0.02*$B124)+E$8)*((1+'User Inputs'!$E$12)^$B124)</f>
        <v>917968.81114836317</v>
      </c>
      <c r="F125" s="14">
        <f>(F$6*(1+0.02*$B124)+F$8)*((1+'User Inputs'!$E$12)^$B124)</f>
        <v>1549769.8458267984</v>
      </c>
      <c r="G125" s="104"/>
      <c r="H125" s="4" t="s">
        <v>42</v>
      </c>
      <c r="I125" s="33">
        <v>26</v>
      </c>
      <c r="J125" s="14">
        <f>(J$6*(1+0.02*$B124)+J$8)*((1+'User Inputs'!$E$12)^$B124)</f>
        <v>340365.20661358198</v>
      </c>
      <c r="K125" s="14">
        <f>(K$6*(1+0.02*$B124)+K$8)*((1+'User Inputs'!$E$12)^$B124)</f>
        <v>428586.45498829207</v>
      </c>
      <c r="L125" s="14">
        <f>(L$6*(1+0.02*$B124)+L$8)*((1+'User Inputs'!$E$12)^$B124)</f>
        <v>625403.27213962493</v>
      </c>
      <c r="M125" s="14">
        <f>(M$6*(1+0.02*$B124)+M$8)*((1+'User Inputs'!$E$12)^$B124)</f>
        <v>1206519.7108662892</v>
      </c>
      <c r="N125" s="248"/>
      <c r="O125" s="4" t="s">
        <v>42</v>
      </c>
      <c r="P125" s="33">
        <v>26</v>
      </c>
      <c r="Q125" s="14">
        <f>(Q$6*(1+0.02*$B124)+Q$8)*((1+'User Inputs'!$E$12)^$B124)</f>
        <v>689637.27376638085</v>
      </c>
      <c r="R125" s="14">
        <f>(R$6*(1+0.02*$B124)+R$8)*((1+'User Inputs'!$E$12)^$B124)</f>
        <v>652000.13932223769</v>
      </c>
      <c r="S125" s="14">
        <f>(S$6*(1+0.02*$B124)+S$8)*((1+'User Inputs'!$E$12)^$B124)</f>
        <v>1210534.3501571012</v>
      </c>
      <c r="T125" s="14">
        <f>(T$6*(1+0.02*$B124)+T$8)*((1+'User Inputs'!$E$12)^$B124)</f>
        <v>1893019.980787308</v>
      </c>
    </row>
    <row r="126" spans="1:20" x14ac:dyDescent="0.25">
      <c r="A126" s="4" t="s">
        <v>42</v>
      </c>
      <c r="B126" s="33">
        <v>27</v>
      </c>
      <c r="C126" s="14">
        <f>(C$6*(1+0.02*$B125)+C$8)*((1+'User Inputs'!$E$12)^$B125)</f>
        <v>528863.84172759205</v>
      </c>
      <c r="D126" s="14">
        <f>(D$6*(1+0.02*$B125)+D$8)*((1+'User Inputs'!$E$12)^$B125)</f>
        <v>555005.71180690895</v>
      </c>
      <c r="E126" s="14">
        <f>(E$6*(1+0.02*$B125)+E$8)*((1+'User Inputs'!$E$12)^$B125)</f>
        <v>945371.12307017529</v>
      </c>
      <c r="F126" s="14">
        <f>(F$6*(1+0.02*$B125)+F$8)*((1+'User Inputs'!$E$12)^$B125)</f>
        <v>1598400.672513806</v>
      </c>
      <c r="G126" s="104"/>
      <c r="H126" s="4" t="s">
        <v>42</v>
      </c>
      <c r="I126" s="33">
        <v>27</v>
      </c>
      <c r="J126" s="14">
        <f>(J$6*(1+0.02*$B125)+J$8)*((1+'User Inputs'!$E$12)^$B125)</f>
        <v>348360.03742302553</v>
      </c>
      <c r="K126" s="14">
        <f>(K$6*(1+0.02*$B125)+K$8)*((1+'User Inputs'!$E$12)^$B125)</f>
        <v>439545.51974312589</v>
      </c>
      <c r="L126" s="14">
        <f>(L$6*(1+0.02*$B125)+L$8)*((1+'User Inputs'!$E$12)^$B125)</f>
        <v>642975.3819507435</v>
      </c>
      <c r="M126" s="14">
        <f>(M$6*(1+0.02*$B125)+M$8)*((1+'User Inputs'!$E$12)^$B125)</f>
        <v>1243617.3330186238</v>
      </c>
      <c r="N126" s="248"/>
      <c r="O126" s="4" t="s">
        <v>42</v>
      </c>
      <c r="P126" s="33">
        <v>27</v>
      </c>
      <c r="Q126" s="14">
        <f>(Q$6*(1+0.02*$B125)+Q$8)*((1+'User Inputs'!$E$12)^$B125)</f>
        <v>709367.64603215852</v>
      </c>
      <c r="R126" s="14">
        <f>(R$6*(1+0.02*$B125)+R$8)*((1+'User Inputs'!$E$12)^$B125)</f>
        <v>670465.90387069213</v>
      </c>
      <c r="S126" s="14">
        <f>(S$6*(1+0.02*$B125)+S$8)*((1+'User Inputs'!$E$12)^$B125)</f>
        <v>1247766.8641896073</v>
      </c>
      <c r="T126" s="14">
        <f>(T$6*(1+0.02*$B125)+T$8)*((1+'User Inputs'!$E$12)^$B125)</f>
        <v>1953184.012008989</v>
      </c>
    </row>
    <row r="127" spans="1:20" x14ac:dyDescent="0.25">
      <c r="A127" s="4" t="s">
        <v>42</v>
      </c>
      <c r="B127" s="33">
        <v>28</v>
      </c>
      <c r="C127" s="14">
        <f>(C$6*(1+0.02*$B126)+C$8)*((1+'User Inputs'!$E$12)^$B126)</f>
        <v>543074.94683063088</v>
      </c>
      <c r="D127" s="14">
        <f>(D$6*(1+0.02*$B126)+D$8)*((1+'User Inputs'!$E$12)^$B126)</f>
        <v>570090.50572575652</v>
      </c>
      <c r="E127" s="14">
        <f>(E$6*(1+0.02*$B126)+E$8)*((1+'User Inputs'!$E$12)^$B126)</f>
        <v>973502.33994440036</v>
      </c>
      <c r="F127" s="14">
        <f>(F$6*(1+0.02*$B126)+F$8)*((1+'User Inputs'!$E$12)^$B126)</f>
        <v>1648356.824329963</v>
      </c>
      <c r="G127" s="104"/>
      <c r="H127" s="4" t="s">
        <v>42</v>
      </c>
      <c r="I127" s="33">
        <v>28</v>
      </c>
      <c r="J127" s="14">
        <f>(J$6*(1+0.02*$B126)+J$8)*((1+'User Inputs'!$E$12)^$B126)</f>
        <v>356538.51538220129</v>
      </c>
      <c r="K127" s="14">
        <f>(K$6*(1+0.02*$B126)+K$8)*((1+'User Inputs'!$E$12)^$B126)</f>
        <v>450771.51250615757</v>
      </c>
      <c r="L127" s="14">
        <f>(L$6*(1+0.02*$B126)+L$8)*((1+'User Inputs'!$E$12)^$B126)</f>
        <v>661000.21484545083</v>
      </c>
      <c r="M127" s="14">
        <f>(M$6*(1+0.02*$B126)+M$8)*((1+'User Inputs'!$E$12)^$B126)</f>
        <v>1281716.252172705</v>
      </c>
      <c r="N127" s="248"/>
      <c r="O127" s="4" t="s">
        <v>42</v>
      </c>
      <c r="P127" s="33">
        <v>28</v>
      </c>
      <c r="Q127" s="14">
        <f>(Q$6*(1+0.02*$B126)+Q$8)*((1+'User Inputs'!$E$12)^$B126)</f>
        <v>729611.37827906047</v>
      </c>
      <c r="R127" s="14">
        <f>(R$6*(1+0.02*$B126)+R$8)*((1+'User Inputs'!$E$12)^$B126)</f>
        <v>689409.49894535553</v>
      </c>
      <c r="S127" s="14">
        <f>(S$6*(1+0.02*$B126)+S$8)*((1+'User Inputs'!$E$12)^$B126)</f>
        <v>1286004.4650433501</v>
      </c>
      <c r="T127" s="14">
        <f>(T$6*(1+0.02*$B126)+T$8)*((1+'User Inputs'!$E$12)^$B126)</f>
        <v>2014997.3964872216</v>
      </c>
    </row>
    <row r="128" spans="1:20" x14ac:dyDescent="0.25">
      <c r="A128" s="4" t="s">
        <v>42</v>
      </c>
      <c r="B128" s="33">
        <v>29</v>
      </c>
      <c r="C128" s="14">
        <f>(C$6*(1+0.02*$B127)+C$8)*((1+'User Inputs'!$E$12)^$B127)</f>
        <v>557642.95060110057</v>
      </c>
      <c r="D128" s="14">
        <f>(D$6*(1+0.02*$B127)+D$8)*((1+'User Inputs'!$E$12)^$B127)</f>
        <v>585556.68911663548</v>
      </c>
      <c r="E128" s="14">
        <f>(E$6*(1+0.02*$B127)+E$8)*((1+'User Inputs'!$E$12)^$B127)</f>
        <v>1002380.6570443668</v>
      </c>
      <c r="F128" s="14">
        <f>(F$6*(1+0.02*$B127)+F$8)*((1+'User Inputs'!$E$12)^$B127)</f>
        <v>1699671.8619497612</v>
      </c>
      <c r="G128" s="104"/>
      <c r="H128" s="4" t="s">
        <v>42</v>
      </c>
      <c r="I128" s="33">
        <v>29</v>
      </c>
      <c r="J128" s="14">
        <f>(J$6*(1+0.02*$B127)+J$8)*((1+'User Inputs'!$E$12)^$B127)</f>
        <v>364904.78844477498</v>
      </c>
      <c r="K128" s="14">
        <f>(K$6*(1+0.02*$B127)+K$8)*((1+'User Inputs'!$E$12)^$B127)</f>
        <v>462270.72677181347</v>
      </c>
      <c r="L128" s="14">
        <f>(L$6*(1+0.02*$B127)+L$8)*((1+'User Inputs'!$E$12)^$B127)</f>
        <v>679488.85090316646</v>
      </c>
      <c r="M128" s="14">
        <f>(M$6*(1+0.02*$B127)+M$8)*((1+'User Inputs'!$E$12)^$B127)</f>
        <v>1320841.6811597422</v>
      </c>
      <c r="N128" s="248"/>
      <c r="O128" s="4" t="s">
        <v>42</v>
      </c>
      <c r="P128" s="33">
        <v>29</v>
      </c>
      <c r="Q128" s="14">
        <f>(Q$6*(1+0.02*$B127)+Q$8)*((1+'User Inputs'!$E$12)^$B127)</f>
        <v>750381.11275742599</v>
      </c>
      <c r="R128" s="14">
        <f>(R$6*(1+0.02*$B127)+R$8)*((1+'User Inputs'!$E$12)^$B127)</f>
        <v>708842.65146145748</v>
      </c>
      <c r="S128" s="14">
        <f>(S$6*(1+0.02*$B127)+S$8)*((1+'User Inputs'!$E$12)^$B127)</f>
        <v>1325272.4631855674</v>
      </c>
      <c r="T128" s="14">
        <f>(T$6*(1+0.02*$B127)+T$8)*((1+'User Inputs'!$E$12)^$B127)</f>
        <v>2078502.0427397804</v>
      </c>
    </row>
    <row r="129" spans="1:20" x14ac:dyDescent="0.25">
      <c r="A129" s="4" t="s">
        <v>42</v>
      </c>
      <c r="B129" s="33">
        <v>30</v>
      </c>
      <c r="C129" s="14">
        <f>(C$6*(1+0.02*$B128)+C$8)*((1+'User Inputs'!$E$12)^$B128)</f>
        <v>572576.44454365631</v>
      </c>
      <c r="D129" s="14">
        <f>(D$6*(1+0.02*$B128)+D$8)*((1+'User Inputs'!$E$12)^$B128)</f>
        <v>601413.48364085914</v>
      </c>
      <c r="E129" s="14">
        <f>(E$6*(1+0.02*$B128)+E$8)*((1+'User Inputs'!$E$12)^$B128)</f>
        <v>1032024.7058923539</v>
      </c>
      <c r="F129" s="14">
        <f>(F$6*(1+0.02*$B128)+F$8)*((1+'User Inputs'!$E$12)^$B128)</f>
        <v>1752380.158344619</v>
      </c>
      <c r="G129" s="104"/>
      <c r="H129" s="4" t="s">
        <v>42</v>
      </c>
      <c r="I129" s="33">
        <v>30</v>
      </c>
      <c r="J129" s="14">
        <f>(J$6*(1+0.02*$B128)+J$8)*((1+'User Inputs'!$E$12)^$B128)</f>
        <v>373463.09702369862</v>
      </c>
      <c r="K129" s="14">
        <f>(K$6*(1+0.02*$B128)+K$8)*((1+'User Inputs'!$E$12)^$B128)</f>
        <v>474049.60100309295</v>
      </c>
      <c r="L129" s="14">
        <f>(L$6*(1+0.02*$B128)+L$8)*((1+'User Inputs'!$E$12)^$B128)</f>
        <v>698452.63231725222</v>
      </c>
      <c r="M129" s="14">
        <f>(M$6*(1+0.02*$B128)+M$8)*((1+'User Inputs'!$E$12)^$B128)</f>
        <v>1361019.4408053916</v>
      </c>
      <c r="N129" s="248"/>
      <c r="O129" s="4" t="s">
        <v>42</v>
      </c>
      <c r="P129" s="33">
        <v>30</v>
      </c>
      <c r="Q129" s="14">
        <f>(Q$6*(1+0.02*$B128)+Q$8)*((1+'User Inputs'!$E$12)^$B128)</f>
        <v>771689.79206361412</v>
      </c>
      <c r="R129" s="14">
        <f>(R$6*(1+0.02*$B128)+R$8)*((1+'User Inputs'!$E$12)^$B128)</f>
        <v>728777.36627862521</v>
      </c>
      <c r="S129" s="14">
        <f>(S$6*(1+0.02*$B128)+S$8)*((1+'User Inputs'!$E$12)^$B128)</f>
        <v>1365596.7794674556</v>
      </c>
      <c r="T129" s="14">
        <f>(T$6*(1+0.02*$B128)+T$8)*((1+'User Inputs'!$E$12)^$B128)</f>
        <v>2143740.8758838465</v>
      </c>
    </row>
    <row r="130" spans="1:20" x14ac:dyDescent="0.25">
      <c r="A130" s="4" t="s">
        <v>42</v>
      </c>
      <c r="B130" s="33">
        <v>31</v>
      </c>
      <c r="C130" s="14">
        <f>(C$6*(1+0.02*$B129)+C$8)*((1+'User Inputs'!$E$12)^$B129)</f>
        <v>587884.22106367419</v>
      </c>
      <c r="D130" s="14">
        <f>(D$6*(1+0.02*$B129)+D$8)*((1+'User Inputs'!$E$12)^$B129)</f>
        <v>617670.32727040513</v>
      </c>
      <c r="E130" s="14">
        <f>(E$6*(1+0.02*$B129)+E$8)*((1+'User Inputs'!$E$12)^$B129)</f>
        <v>1062453.5644314429</v>
      </c>
      <c r="F130" s="14">
        <f>(F$6*(1+0.02*$B129)+F$8)*((1+'User Inputs'!$E$12)^$B129)</f>
        <v>1806516.9178504914</v>
      </c>
      <c r="G130" s="104"/>
      <c r="H130" s="4" t="s">
        <v>42</v>
      </c>
      <c r="I130" s="33">
        <v>31</v>
      </c>
      <c r="J130" s="14">
        <f>(J$6*(1+0.02*$B129)+J$8)*((1+'User Inputs'!$E$12)^$B129)</f>
        <v>382217.77603040135</v>
      </c>
      <c r="K130" s="14">
        <f>(K$6*(1+0.02*$B129)+K$8)*((1+'User Inputs'!$E$12)^$B129)</f>
        <v>486114.721912915</v>
      </c>
      <c r="L130" s="14">
        <f>(L$6*(1+0.02*$B129)+L$8)*((1+'User Inputs'!$E$12)^$B129)</f>
        <v>717903.16944754042</v>
      </c>
      <c r="M130" s="14">
        <f>(M$6*(1+0.02*$B129)+M$8)*((1+'User Inputs'!$E$12)^$B129)</f>
        <v>1402275.9741644033</v>
      </c>
      <c r="N130" s="248"/>
      <c r="O130" s="4" t="s">
        <v>42</v>
      </c>
      <c r="P130" s="33">
        <v>31</v>
      </c>
      <c r="Q130" s="14">
        <f>(Q$6*(1+0.02*$B129)+Q$8)*((1+'User Inputs'!$E$12)^$B129)</f>
        <v>793550.66609694704</v>
      </c>
      <c r="R130" s="14">
        <f>(R$6*(1+0.02*$B129)+R$8)*((1+'User Inputs'!$E$12)^$B129)</f>
        <v>749225.93262789526</v>
      </c>
      <c r="S130" s="14">
        <f>(S$6*(1+0.02*$B129)+S$8)*((1+'User Inputs'!$E$12)^$B129)</f>
        <v>1407003.9594153455</v>
      </c>
      <c r="T130" s="14">
        <f>(T$6*(1+0.02*$B129)+T$8)*((1+'User Inputs'!$E$12)^$B129)</f>
        <v>2210757.8615365792</v>
      </c>
    </row>
    <row r="131" spans="1:20" x14ac:dyDescent="0.25">
      <c r="A131" s="4" t="s">
        <v>42</v>
      </c>
      <c r="B131" s="33">
        <v>32</v>
      </c>
      <c r="C131" s="14">
        <f>(C$6*(1+0.02*$B130)+C$8)*((1+'User Inputs'!$E$12)^$B130)</f>
        <v>603575.27806667518</v>
      </c>
      <c r="D131" s="14">
        <f>(D$6*(1+0.02*$B130)+D$8)*((1+'User Inputs'!$E$12)^$B130)</f>
        <v>634336.87925167638</v>
      </c>
      <c r="E131" s="14">
        <f>(E$6*(1+0.02*$B130)+E$8)*((1+'User Inputs'!$E$12)^$B130)</f>
        <v>1093686.7674297378</v>
      </c>
      <c r="F131" s="14">
        <f>(F$6*(1+0.02*$B130)+F$8)*((1+'User Inputs'!$E$12)^$B130)</f>
        <v>1862118.1956732604</v>
      </c>
      <c r="G131" s="104"/>
      <c r="H131" s="4" t="s">
        <v>42</v>
      </c>
      <c r="I131" s="33">
        <v>32</v>
      </c>
      <c r="J131" s="14">
        <f>(J$6*(1+0.02*$B130)+J$8)*((1+'User Inputs'!$E$12)^$B130)</f>
        <v>391173.25695856259</v>
      </c>
      <c r="K131" s="14">
        <f>(K$6*(1+0.02*$B130)+K$8)*((1+'User Inputs'!$E$12)^$B130)</f>
        <v>498472.82781872869</v>
      </c>
      <c r="L131" s="14">
        <f>(L$6*(1+0.02*$B130)+L$8)*((1+'User Inputs'!$E$12)^$B130)</f>
        <v>737852.34701011283</v>
      </c>
      <c r="M131" s="14">
        <f>(M$6*(1+0.02*$B130)+M$8)*((1+'User Inputs'!$E$12)^$B130)</f>
        <v>1444638.361081453</v>
      </c>
      <c r="N131" s="248"/>
      <c r="O131" s="4" t="s">
        <v>42</v>
      </c>
      <c r="P131" s="33">
        <v>32</v>
      </c>
      <c r="Q131" s="14">
        <f>(Q$6*(1+0.02*$B130)+Q$8)*((1+'User Inputs'!$E$12)^$B130)</f>
        <v>815977.29917478771</v>
      </c>
      <c r="R131" s="14">
        <f>(R$6*(1+0.02*$B130)+R$8)*((1+'User Inputs'!$E$12)^$B130)</f>
        <v>770200.93068462436</v>
      </c>
      <c r="S131" s="14">
        <f>(S$6*(1+0.02*$B130)+S$8)*((1+'User Inputs'!$E$12)^$B130)</f>
        <v>1449521.1878493633</v>
      </c>
      <c r="T131" s="14">
        <f>(T$6*(1+0.02*$B130)+T$8)*((1+'User Inputs'!$E$12)^$B130)</f>
        <v>2279598.0302650677</v>
      </c>
    </row>
    <row r="132" spans="1:20" x14ac:dyDescent="0.25">
      <c r="A132" s="4" t="s">
        <v>42</v>
      </c>
      <c r="B132" s="33">
        <v>33</v>
      </c>
      <c r="C132" s="14">
        <f>(C$6*(1+0.02*$B131)+C$8)*((1+'User Inputs'!$E$12)^$B131)</f>
        <v>619658.82366137078</v>
      </c>
      <c r="D132" s="14">
        <f>(D$6*(1+0.02*$B131)+D$8)*((1+'User Inputs'!$E$12)^$B131)</f>
        <v>651423.02518129081</v>
      </c>
      <c r="E132" s="14">
        <f>(E$6*(1+0.02*$B131)+E$8)*((1+'User Inputs'!$E$12)^$B131)</f>
        <v>1125744.3171221928</v>
      </c>
      <c r="F132" s="14">
        <f>(F$6*(1+0.02*$B131)+F$8)*((1+'User Inputs'!$E$12)^$B131)</f>
        <v>1919220.9178418005</v>
      </c>
      <c r="G132" s="104"/>
      <c r="H132" s="4" t="s">
        <v>42</v>
      </c>
      <c r="I132" s="33">
        <v>33</v>
      </c>
      <c r="J132" s="14">
        <f>(J$6*(1+0.02*$B131)+J$8)*((1+'User Inputs'!$E$12)^$B131)</f>
        <v>400334.07001343835</v>
      </c>
      <c r="K132" s="14">
        <f>(K$6*(1+0.02*$B131)+K$8)*((1+'User Inputs'!$E$12)^$B131)</f>
        <v>511130.81207200984</v>
      </c>
      <c r="L132" s="14">
        <f>(L$6*(1+0.02*$B131)+L$8)*((1+'User Inputs'!$E$12)^$B131)</f>
        <v>758312.33040740946</v>
      </c>
      <c r="M132" s="14">
        <f>(M$6*(1+0.02*$B131)+M$8)*((1+'User Inputs'!$E$12)^$B131)</f>
        <v>1488134.3330855195</v>
      </c>
      <c r="N132" s="248"/>
      <c r="O132" s="4" t="s">
        <v>42</v>
      </c>
      <c r="P132" s="33">
        <v>33</v>
      </c>
      <c r="Q132" s="14">
        <f>(Q$6*(1+0.02*$B131)+Q$8)*((1+'User Inputs'!$E$12)^$B131)</f>
        <v>838983.57730930333</v>
      </c>
      <c r="R132" s="14">
        <f>(R$6*(1+0.02*$B131)+R$8)*((1+'User Inputs'!$E$12)^$B131)</f>
        <v>791715.23829057184</v>
      </c>
      <c r="S132" s="14">
        <f>(S$6*(1+0.02*$B131)+S$8)*((1+'User Inputs'!$E$12)^$B131)</f>
        <v>1493176.3038369764</v>
      </c>
      <c r="T132" s="14">
        <f>(T$6*(1+0.02*$B131)+T$8)*((1+'User Inputs'!$E$12)^$B131)</f>
        <v>2350307.5025980822</v>
      </c>
    </row>
    <row r="133" spans="1:20" x14ac:dyDescent="0.25">
      <c r="A133" s="4" t="s">
        <v>42</v>
      </c>
      <c r="B133" s="33">
        <v>34</v>
      </c>
      <c r="C133" s="14">
        <f>(C$6*(1+0.02*$B132)+C$8)*((1+'User Inputs'!$E$12)^$B132)</f>
        <v>636144.28096862766</v>
      </c>
      <c r="D133" s="14">
        <f>(D$6*(1+0.02*$B132)+D$8)*((1+'User Inputs'!$E$12)^$B132)</f>
        <v>668938.88219638891</v>
      </c>
      <c r="E133" s="14">
        <f>(E$6*(1+0.02*$B132)+E$8)*((1+'User Inputs'!$E$12)^$B132)</f>
        <v>1158646.6940953739</v>
      </c>
      <c r="F133" s="14">
        <f>(F$6*(1+0.02*$B132)+F$8)*((1+'User Inputs'!$E$12)^$B132)</f>
        <v>1977862.9016188129</v>
      </c>
      <c r="G133" s="104"/>
      <c r="H133" s="4" t="s">
        <v>42</v>
      </c>
      <c r="I133" s="33">
        <v>34</v>
      </c>
      <c r="J133" s="14">
        <f>(J$6*(1+0.02*$B132)+J$8)*((1+'User Inputs'!$E$12)^$B132)</f>
        <v>409704.84628772561</v>
      </c>
      <c r="K133" s="14">
        <f>(K$6*(1+0.02*$B132)+K$8)*((1+'User Inputs'!$E$12)^$B132)</f>
        <v>524095.72656429466</v>
      </c>
      <c r="L133" s="14">
        <f>(L$6*(1+0.02*$B132)+L$8)*((1+'User Inputs'!$E$12)^$B132)</f>
        <v>779295.57220179401</v>
      </c>
      <c r="M133" s="14">
        <f>(M$6*(1+0.02*$B132)+M$8)*((1+'User Inputs'!$E$12)^$B132)</f>
        <v>1532792.288625316</v>
      </c>
      <c r="N133" s="248"/>
      <c r="O133" s="4" t="s">
        <v>42</v>
      </c>
      <c r="P133" s="33">
        <v>34</v>
      </c>
      <c r="Q133" s="14">
        <f>(Q$6*(1+0.02*$B132)+Q$8)*((1+'User Inputs'!$E$12)^$B132)</f>
        <v>862583.71564952983</v>
      </c>
      <c r="R133" s="14">
        <f>(R$6*(1+0.02*$B132)+R$8)*((1+'User Inputs'!$E$12)^$B132)</f>
        <v>813782.03782848315</v>
      </c>
      <c r="S133" s="14">
        <f>(S$6*(1+0.02*$B132)+S$8)*((1+'User Inputs'!$E$12)^$B132)</f>
        <v>1537997.8159889542</v>
      </c>
      <c r="T133" s="14">
        <f>(T$6*(1+0.02*$B132)+T$8)*((1+'User Inputs'!$E$12)^$B132)</f>
        <v>2422933.5146123101</v>
      </c>
    </row>
    <row r="134" spans="1:20" x14ac:dyDescent="0.25">
      <c r="A134" s="4" t="s">
        <v>42</v>
      </c>
      <c r="B134" s="33">
        <v>35</v>
      </c>
      <c r="C134" s="14">
        <f>(C$6*(1+0.02*$B133)+C$8)*((1+'User Inputs'!$E$12)^$B133)</f>
        <v>653041.29303871014</v>
      </c>
      <c r="D134" s="14">
        <f>(D$6*(1+0.02*$B133)+D$8)*((1+'User Inputs'!$E$12)^$B133)</f>
        <v>686894.80428201822</v>
      </c>
      <c r="E134" s="14">
        <f>(E$6*(1+0.02*$B133)+E$8)*((1+'User Inputs'!$E$12)^$B133)</f>
        <v>1192414.8684206333</v>
      </c>
      <c r="F134" s="14">
        <f>(F$6*(1+0.02*$B133)+F$8)*((1+'User Inputs'!$E$12)^$B133)</f>
        <v>2038082.8763797686</v>
      </c>
      <c r="G134" s="104"/>
      <c r="H134" s="4" t="s">
        <v>42</v>
      </c>
      <c r="I134" s="33">
        <v>35</v>
      </c>
      <c r="J134" s="14">
        <f>(J$6*(1+0.02*$B133)+J$8)*((1+'User Inputs'!$E$12)^$B133)</f>
        <v>419290.31998497894</v>
      </c>
      <c r="K134" s="14">
        <f>(K$6*(1+0.02*$B133)+K$8)*((1+'User Inputs'!$E$12)^$B133)</f>
        <v>537374.78531144198</v>
      </c>
      <c r="L134" s="14">
        <f>(L$6*(1+0.02*$B133)+L$8)*((1+'User Inputs'!$E$12)^$B133)</f>
        <v>800814.81873579056</v>
      </c>
      <c r="M134" s="14">
        <f>(M$6*(1+0.02*$B133)+M$8)*((1+'User Inputs'!$E$12)^$B133)</f>
        <v>1578641.3086534694</v>
      </c>
      <c r="N134" s="248"/>
      <c r="O134" s="4" t="s">
        <v>42</v>
      </c>
      <c r="P134" s="33">
        <v>35</v>
      </c>
      <c r="Q134" s="14">
        <f>(Q$6*(1+0.02*$B133)+Q$8)*((1+'User Inputs'!$E$12)^$B133)</f>
        <v>886792.26609244128</v>
      </c>
      <c r="R134" s="14">
        <f>(R$6*(1+0.02*$B133)+R$8)*((1+'User Inputs'!$E$12)^$B133)</f>
        <v>836414.82325259468</v>
      </c>
      <c r="S134" s="14">
        <f>(S$6*(1+0.02*$B133)+S$8)*((1+'User Inputs'!$E$12)^$B133)</f>
        <v>1584014.9181054761</v>
      </c>
      <c r="T134" s="14">
        <f>(T$6*(1+0.02*$B133)+T$8)*((1+'User Inputs'!$E$12)^$B133)</f>
        <v>2497524.444106068</v>
      </c>
    </row>
    <row r="135" spans="1:20" x14ac:dyDescent="0.25">
      <c r="A135" s="4" t="s">
        <v>42</v>
      </c>
      <c r="B135" s="33">
        <v>36</v>
      </c>
      <c r="C135" s="14">
        <f>(C$6*(1+0.02*$B134)+C$8)*((1+'User Inputs'!$E$12)^$B134)</f>
        <v>670359.7278792084</v>
      </c>
      <c r="D135" s="14">
        <f>(D$6*(1+0.02*$B134)+D$8)*((1+'User Inputs'!$E$12)^$B134)</f>
        <v>705301.38769819436</v>
      </c>
      <c r="E135" s="14">
        <f>(E$6*(1+0.02*$B134)+E$8)*((1+'User Inputs'!$E$12)^$B134)</f>
        <v>1227070.3110412648</v>
      </c>
      <c r="F135" s="14">
        <f>(F$6*(1+0.02*$B134)+F$8)*((1+'User Inputs'!$E$12)^$B134)</f>
        <v>2099920.5049705151</v>
      </c>
      <c r="G135" s="104"/>
      <c r="H135" s="4" t="s">
        <v>42</v>
      </c>
      <c r="I135" s="33">
        <v>36</v>
      </c>
      <c r="J135" s="14">
        <f>(J$6*(1+0.02*$B134)+J$8)*((1+'User Inputs'!$E$12)^$B134)</f>
        <v>429095.33069160732</v>
      </c>
      <c r="K135" s="14">
        <f>(K$6*(1+0.02*$B134)+K$8)*((1+'User Inputs'!$E$12)^$B134)</f>
        <v>550975.36811784958</v>
      </c>
      <c r="L135" s="14">
        <f>(L$6*(1+0.02*$B134)+L$8)*((1+'User Inputs'!$E$12)^$B134)</f>
        <v>822883.11690226651</v>
      </c>
      <c r="M135" s="14">
        <f>(M$6*(1+0.02*$B134)+M$8)*((1+'User Inputs'!$E$12)^$B134)</f>
        <v>1625711.1725672993</v>
      </c>
      <c r="N135" s="248"/>
      <c r="O135" s="4" t="s">
        <v>42</v>
      </c>
      <c r="P135" s="33">
        <v>36</v>
      </c>
      <c r="Q135" s="14">
        <f>(Q$6*(1+0.02*$B134)+Q$8)*((1+'User Inputs'!$E$12)^$B134)</f>
        <v>911624.12506680947</v>
      </c>
      <c r="R135" s="14">
        <f>(R$6*(1+0.02*$B134)+R$8)*((1+'User Inputs'!$E$12)^$B134)</f>
        <v>859627.40727853926</v>
      </c>
      <c r="S135" s="14">
        <f>(S$6*(1+0.02*$B134)+S$8)*((1+'User Inputs'!$E$12)^$B134)</f>
        <v>1631257.5051802632</v>
      </c>
      <c r="T135" s="14">
        <f>(T$6*(1+0.02*$B134)+T$8)*((1+'User Inputs'!$E$12)^$B134)</f>
        <v>2574129.8373737312</v>
      </c>
    </row>
    <row r="136" spans="1:20" x14ac:dyDescent="0.25">
      <c r="A136" s="4" t="s">
        <v>42</v>
      </c>
      <c r="B136" s="33">
        <v>37</v>
      </c>
      <c r="C136" s="14">
        <f>(C$6*(1+0.02*$B135)+C$8)*((1+'User Inputs'!$E$12)^$B135)</f>
        <v>688109.68359611114</v>
      </c>
      <c r="D136" s="14">
        <f>(D$6*(1+0.02*$B135)+D$8)*((1+'User Inputs'!$E$12)^$B135)</f>
        <v>724169.47652930464</v>
      </c>
      <c r="E136" s="14">
        <f>(E$6*(1+0.02*$B135)+E$8)*((1+'User Inputs'!$E$12)^$B135)</f>
        <v>1262635.0054193533</v>
      </c>
      <c r="F136" s="14">
        <f>(F$6*(1+0.02*$B135)+F$8)*((1+'User Inputs'!$E$12)^$B135)</f>
        <v>2163416.4055543398</v>
      </c>
      <c r="G136" s="104"/>
      <c r="H136" s="4" t="s">
        <v>42</v>
      </c>
      <c r="I136" s="33">
        <v>37</v>
      </c>
      <c r="J136" s="14">
        <f>(J$6*(1+0.02*$B135)+J$8)*((1+'User Inputs'!$E$12)^$B135)</f>
        <v>439124.82569850684</v>
      </c>
      <c r="K136" s="14">
        <f>(K$6*(1+0.02*$B135)+K$8)*((1+'User Inputs'!$E$12)^$B135)</f>
        <v>564905.02432238881</v>
      </c>
      <c r="L136" s="14">
        <f>(L$6*(1+0.02*$B135)+L$8)*((1+'User Inputs'!$E$12)^$B135)</f>
        <v>845513.82106790715</v>
      </c>
      <c r="M136" s="14">
        <f>(M$6*(1+0.02*$B135)+M$8)*((1+'User Inputs'!$E$12)^$B135)</f>
        <v>1674032.3745142207</v>
      </c>
      <c r="N136" s="248"/>
      <c r="O136" s="4" t="s">
        <v>42</v>
      </c>
      <c r="P136" s="33">
        <v>37</v>
      </c>
      <c r="Q136" s="14">
        <f>(Q$6*(1+0.02*$B135)+Q$8)*((1+'User Inputs'!$E$12)^$B135)</f>
        <v>937094.54149371537</v>
      </c>
      <c r="R136" s="14">
        <f>(R$6*(1+0.02*$B135)+R$8)*((1+'User Inputs'!$E$12)^$B135)</f>
        <v>883433.92873622046</v>
      </c>
      <c r="S136" s="14">
        <f>(S$6*(1+0.02*$B135)+S$8)*((1+'User Inputs'!$E$12)^$B135)</f>
        <v>1679756.1897707994</v>
      </c>
      <c r="T136" s="14">
        <f>(T$6*(1+0.02*$B135)+T$8)*((1+'User Inputs'!$E$12)^$B135)</f>
        <v>2652800.4365944583</v>
      </c>
    </row>
    <row r="137" spans="1:20" x14ac:dyDescent="0.25">
      <c r="A137" s="4" t="s">
        <v>42</v>
      </c>
      <c r="B137" s="33">
        <v>38</v>
      </c>
      <c r="C137" s="14">
        <f>(C$6*(1+0.02*$B136)+C$8)*((1+'User Inputs'!$E$12)^$B136)</f>
        <v>706301.4936505385</v>
      </c>
      <c r="D137" s="14">
        <f>(D$6*(1+0.02*$B136)+D$8)*((1+'User Inputs'!$E$12)^$B136)</f>
        <v>743510.16835858021</v>
      </c>
      <c r="E137" s="14">
        <f>(E$6*(1+0.02*$B136)+E$8)*((1+'User Inputs'!$E$12)^$B136)</f>
        <v>1299131.459448149</v>
      </c>
      <c r="F137" s="14">
        <f>(F$6*(1+0.02*$B136)+F$8)*((1+'User Inputs'!$E$12)^$B136)</f>
        <v>2228612.1739595295</v>
      </c>
      <c r="G137" s="104"/>
      <c r="H137" s="4" t="s">
        <v>42</v>
      </c>
      <c r="I137" s="33">
        <v>38</v>
      </c>
      <c r="J137" s="14">
        <f>(J$6*(1+0.02*$B136)+J$8)*((1+'User Inputs'!$E$12)^$B136)</f>
        <v>449383.86237340578</v>
      </c>
      <c r="K137" s="14">
        <f>(K$6*(1+0.02*$B136)+K$8)*((1+'User Inputs'!$E$12)^$B136)</f>
        <v>579171.47662786266</v>
      </c>
      <c r="L137" s="14">
        <f>(L$6*(1+0.02*$B136)+L$8)*((1+'User Inputs'!$E$12)^$B136)</f>
        <v>868720.60015341255</v>
      </c>
      <c r="M137" s="14">
        <f>(M$6*(1+0.02*$B136)+M$8)*((1+'User Inputs'!$E$12)^$B136)</f>
        <v>1723636.1400699927</v>
      </c>
      <c r="N137" s="248"/>
      <c r="O137" s="4" t="s">
        <v>42</v>
      </c>
      <c r="P137" s="33">
        <v>38</v>
      </c>
      <c r="Q137" s="14">
        <f>(Q$6*(1+0.02*$B136)+Q$8)*((1+'User Inputs'!$E$12)^$B136)</f>
        <v>963219.12492767116</v>
      </c>
      <c r="R137" s="14">
        <f>(R$6*(1+0.02*$B136)+R$8)*((1+'User Inputs'!$E$12)^$B136)</f>
        <v>907848.86008929787</v>
      </c>
      <c r="S137" s="14">
        <f>(S$6*(1+0.02*$B136)+S$8)*((1+'User Inputs'!$E$12)^$B136)</f>
        <v>1729542.3187428857</v>
      </c>
      <c r="T137" s="14">
        <f>(T$6*(1+0.02*$B136)+T$8)*((1+'User Inputs'!$E$12)^$B136)</f>
        <v>2733588.2078490662</v>
      </c>
    </row>
    <row r="138" spans="1:20" x14ac:dyDescent="0.25">
      <c r="A138" s="4" t="s">
        <v>42</v>
      </c>
      <c r="B138" s="33">
        <v>39</v>
      </c>
      <c r="C138" s="14">
        <f>(C$6*(1+0.02*$B137)+C$8)*((1+'User Inputs'!$E$12)^$B137)</f>
        <v>724945.7322337043</v>
      </c>
      <c r="D138" s="14">
        <f>(D$6*(1+0.02*$B137)+D$8)*((1+'User Inputs'!$E$12)^$B137)</f>
        <v>763334.82007041515</v>
      </c>
      <c r="E138" s="14">
        <f>(E$6*(1+0.02*$B137)+E$8)*((1+'User Inputs'!$E$12)^$B137)</f>
        <v>1336582.7176359289</v>
      </c>
      <c r="F138" s="14">
        <f>(F$6*(1+0.02*$B137)+F$8)*((1+'User Inputs'!$E$12)^$B137)</f>
        <v>2295550.4065387049</v>
      </c>
      <c r="G138" s="104"/>
      <c r="H138" s="4" t="s">
        <v>42</v>
      </c>
      <c r="I138" s="33">
        <v>39</v>
      </c>
      <c r="J138" s="14">
        <f>(J$6*(1+0.02*$B137)+J$8)*((1+'User Inputs'!$E$12)^$B137)</f>
        <v>459877.61058502126</v>
      </c>
      <c r="K138" s="14">
        <f>(K$6*(1+0.02*$B137)+K$8)*((1+'User Inputs'!$E$12)^$B137)</f>
        <v>593782.62501582643</v>
      </c>
      <c r="L138" s="14">
        <f>(L$6*(1+0.02*$B137)+L$8)*((1+'User Inputs'!$E$12)^$B137)</f>
        <v>892517.4448739111</v>
      </c>
      <c r="M138" s="14">
        <f>(M$6*(1+0.02*$B137)+M$8)*((1+'User Inputs'!$E$12)^$B137)</f>
        <v>1774554.4432981897</v>
      </c>
      <c r="N138" s="248"/>
      <c r="O138" s="4" t="s">
        <v>42</v>
      </c>
      <c r="P138" s="33">
        <v>39</v>
      </c>
      <c r="Q138" s="14">
        <f>(Q$6*(1+0.02*$B137)+Q$8)*((1+'User Inputs'!$E$12)^$B137)</f>
        <v>990013.85388238751</v>
      </c>
      <c r="R138" s="14">
        <f>(R$6*(1+0.02*$B137)+R$8)*((1+'User Inputs'!$E$12)^$B137)</f>
        <v>932887.01512500376</v>
      </c>
      <c r="S138" s="14">
        <f>(S$6*(1+0.02*$B137)+S$8)*((1+'User Inputs'!$E$12)^$B137)</f>
        <v>1780647.9903979469</v>
      </c>
      <c r="T138" s="14">
        <f>(T$6*(1+0.02*$B137)+T$8)*((1+'User Inputs'!$E$12)^$B137)</f>
        <v>2816546.3697792199</v>
      </c>
    </row>
    <row r="139" spans="1:20" x14ac:dyDescent="0.25">
      <c r="A139" s="4" t="s">
        <v>42</v>
      </c>
      <c r="B139" s="33">
        <v>40</v>
      </c>
      <c r="C139" s="14">
        <f>(C$6*(1+0.02*$B138)+C$8)*((1+'User Inputs'!$E$12)^$B138)</f>
        <v>744053.21976273635</v>
      </c>
      <c r="D139" s="14">
        <f>(D$6*(1+0.02*$B138)+D$8)*((1+'User Inputs'!$E$12)^$B138)</f>
        <v>783655.05378337961</v>
      </c>
      <c r="E139" s="14">
        <f>(E$6*(1+0.02*$B138)+E$8)*((1+'User Inputs'!$E$12)^$B138)</f>
        <v>1375012.3735674401</v>
      </c>
      <c r="F139" s="14">
        <f>(F$6*(1+0.02*$B138)+F$8)*((1+'User Inputs'!$E$12)^$B138)</f>
        <v>2364274.7235514619</v>
      </c>
      <c r="G139" s="104"/>
      <c r="H139" s="4" t="s">
        <v>42</v>
      </c>
      <c r="I139" s="33">
        <v>40</v>
      </c>
      <c r="J139" s="14">
        <f>(J$6*(1+0.02*$B138)+J$8)*((1+'User Inputs'!$E$12)^$B138)</f>
        <v>470611.35518015182</v>
      </c>
      <c r="K139" s="14">
        <f>(K$6*(1+0.02*$B138)+K$8)*((1+'User Inputs'!$E$12)^$B138)</f>
        <v>608746.55074865732</v>
      </c>
      <c r="L139" s="14">
        <f>(L$6*(1+0.02*$B138)+L$8)*((1+'User Inputs'!$E$12)^$B138)</f>
        <v>916918.67514316773</v>
      </c>
      <c r="M139" s="14">
        <f>(M$6*(1+0.02*$B138)+M$8)*((1+'User Inputs'!$E$12)^$B138)</f>
        <v>1826820.0241994858</v>
      </c>
      <c r="N139" s="248"/>
      <c r="O139" s="4" t="s">
        <v>42</v>
      </c>
      <c r="P139" s="33">
        <v>40</v>
      </c>
      <c r="Q139" s="14">
        <f>(Q$6*(1+0.02*$B138)+Q$8)*((1+'User Inputs'!$E$12)^$B138)</f>
        <v>1017495.0843453209</v>
      </c>
      <c r="R139" s="14">
        <f>(R$6*(1+0.02*$B138)+R$8)*((1+'User Inputs'!$E$12)^$B138)</f>
        <v>958563.55681810179</v>
      </c>
      <c r="S139" s="14">
        <f>(S$6*(1+0.02*$B138)+S$8)*((1+'User Inputs'!$E$12)^$B138)</f>
        <v>1833106.0719917123</v>
      </c>
      <c r="T139" s="14">
        <f>(T$6*(1+0.02*$B138)+T$8)*((1+'User Inputs'!$E$12)^$B138)</f>
        <v>2901729.422903439</v>
      </c>
    </row>
    <row r="141" spans="1:20" ht="30" x14ac:dyDescent="0.25">
      <c r="A141" s="38" t="s">
        <v>152</v>
      </c>
      <c r="B141" s="34"/>
      <c r="C141" s="37"/>
      <c r="H141" s="38"/>
      <c r="I141" s="34"/>
      <c r="J141" s="37"/>
      <c r="O141" s="38"/>
      <c r="P141" s="34"/>
      <c r="Q141" s="37"/>
    </row>
    <row r="142" spans="1:20" x14ac:dyDescent="0.25">
      <c r="A142" s="4" t="s">
        <v>42</v>
      </c>
      <c r="B142" s="33">
        <v>0</v>
      </c>
      <c r="C142" s="14">
        <f>0</f>
        <v>0</v>
      </c>
      <c r="D142" s="14">
        <f>0</f>
        <v>0</v>
      </c>
      <c r="E142" s="14">
        <f>0</f>
        <v>0</v>
      </c>
      <c r="F142" s="14">
        <f>0</f>
        <v>0</v>
      </c>
      <c r="G142" s="248"/>
      <c r="H142" s="4" t="s">
        <v>42</v>
      </c>
      <c r="I142" s="33">
        <v>0</v>
      </c>
      <c r="J142" s="14">
        <f>0</f>
        <v>0</v>
      </c>
      <c r="K142" s="14">
        <f>0</f>
        <v>0</v>
      </c>
      <c r="L142" s="14">
        <f>0</f>
        <v>0</v>
      </c>
      <c r="M142" s="14">
        <f>0</f>
        <v>0</v>
      </c>
      <c r="N142" s="248"/>
      <c r="O142" s="4" t="s">
        <v>42</v>
      </c>
      <c r="P142" s="33">
        <v>0</v>
      </c>
      <c r="Q142" s="14">
        <f>0</f>
        <v>0</v>
      </c>
      <c r="R142" s="14">
        <f>0</f>
        <v>0</v>
      </c>
      <c r="S142" s="14">
        <f>0</f>
        <v>0</v>
      </c>
      <c r="T142" s="14">
        <f>0</f>
        <v>0</v>
      </c>
    </row>
    <row r="143" spans="1:20" x14ac:dyDescent="0.25">
      <c r="A143" s="4" t="s">
        <v>42</v>
      </c>
      <c r="B143" s="33">
        <v>1</v>
      </c>
      <c r="C143" s="14">
        <f>C$7</f>
        <v>137294.08163265305</v>
      </c>
      <c r="D143" s="14">
        <f t="shared" ref="D143:F143" si="91">D$7</f>
        <v>145805.51020408163</v>
      </c>
      <c r="E143" s="14">
        <f t="shared" si="91"/>
        <v>272902.75510204083</v>
      </c>
      <c r="F143" s="14">
        <f t="shared" si="91"/>
        <v>485519.59183673467</v>
      </c>
      <c r="G143" s="248"/>
      <c r="H143" s="4" t="s">
        <v>42</v>
      </c>
      <c r="I143" s="33">
        <v>1</v>
      </c>
      <c r="J143" s="14">
        <f t="shared" ref="J143:M143" si="92">J$7</f>
        <v>78524.693877551021</v>
      </c>
      <c r="K143" s="14">
        <f t="shared" si="92"/>
        <v>108213.36734693877</v>
      </c>
      <c r="L143" s="14">
        <f t="shared" si="92"/>
        <v>174447.14285714284</v>
      </c>
      <c r="M143" s="14">
        <f t="shared" si="92"/>
        <v>370007.3469387755</v>
      </c>
      <c r="N143" s="248"/>
      <c r="O143" s="4" t="s">
        <v>42</v>
      </c>
      <c r="P143" s="33">
        <v>1</v>
      </c>
      <c r="Q143" s="14">
        <f t="shared" ref="Q143:T143" si="93">Q$7</f>
        <v>196063.46938775509</v>
      </c>
      <c r="R143" s="14">
        <f t="shared" si="93"/>
        <v>183397.6530612245</v>
      </c>
      <c r="S143" s="14">
        <f t="shared" si="93"/>
        <v>371358.36734693876</v>
      </c>
      <c r="T143" s="14">
        <f t="shared" si="93"/>
        <v>601031.83673469385</v>
      </c>
    </row>
    <row r="144" spans="1:20" x14ac:dyDescent="0.25">
      <c r="A144" s="4" t="s">
        <v>42</v>
      </c>
      <c r="B144" s="33">
        <v>2</v>
      </c>
      <c r="C144" s="14">
        <f>C$7*((1+'User Inputs'!$E$12)^$B143)</f>
        <v>140039.96326530611</v>
      </c>
      <c r="D144" s="14">
        <f>D$7*((1+'User Inputs'!$E$12)^$B143)</f>
        <v>148721.62040816326</v>
      </c>
      <c r="E144" s="14">
        <f>E$7*((1+'User Inputs'!$E$12)^$B143)</f>
        <v>278360.81020408164</v>
      </c>
      <c r="F144" s="14">
        <f>F$7*((1+'User Inputs'!$E$12)^$B143)</f>
        <v>495229.9836734694</v>
      </c>
      <c r="G144" s="248"/>
      <c r="H144" s="4" t="s">
        <v>42</v>
      </c>
      <c r="I144" s="33">
        <v>2</v>
      </c>
      <c r="J144" s="14">
        <f>J$7*((1+'User Inputs'!$E$12)^$B143)</f>
        <v>80095.187755102044</v>
      </c>
      <c r="K144" s="14">
        <f>K$7*((1+'User Inputs'!$E$12)^$B143)</f>
        <v>110377.63469387755</v>
      </c>
      <c r="L144" s="14">
        <f>L$7*((1+'User Inputs'!$E$12)^$B143)</f>
        <v>177936.0857142857</v>
      </c>
      <c r="M144" s="14">
        <f>M$7*((1+'User Inputs'!$E$12)^$B143)</f>
        <v>377407.49387755099</v>
      </c>
      <c r="N144" s="248"/>
      <c r="O144" s="4" t="s">
        <v>42</v>
      </c>
      <c r="P144" s="33">
        <v>2</v>
      </c>
      <c r="Q144" s="14">
        <f>Q$7*((1+'User Inputs'!$E$12)^$B143)</f>
        <v>199984.7387755102</v>
      </c>
      <c r="R144" s="14">
        <f>R$7*((1+'User Inputs'!$E$12)^$B143)</f>
        <v>187065.60612244898</v>
      </c>
      <c r="S144" s="14">
        <f>S$7*((1+'User Inputs'!$E$12)^$B143)</f>
        <v>378785.53469387756</v>
      </c>
      <c r="T144" s="14">
        <f>T$7*((1+'User Inputs'!$E$12)^$B143)</f>
        <v>613052.47346938774</v>
      </c>
    </row>
    <row r="145" spans="1:20" x14ac:dyDescent="0.25">
      <c r="A145" s="4" t="s">
        <v>42</v>
      </c>
      <c r="B145" s="33">
        <v>3</v>
      </c>
      <c r="C145" s="14">
        <f>C$7*((1+'User Inputs'!$E$12)^$B144)</f>
        <v>142840.76253061224</v>
      </c>
      <c r="D145" s="14">
        <f>D$7*((1+'User Inputs'!$E$12)^$B144)</f>
        <v>151696.05281632653</v>
      </c>
      <c r="E145" s="14">
        <f>E$7*((1+'User Inputs'!$E$12)^$B144)</f>
        <v>283928.02640816325</v>
      </c>
      <c r="F145" s="14">
        <f>F$7*((1+'User Inputs'!$E$12)^$B144)</f>
        <v>505134.58334693877</v>
      </c>
      <c r="G145" s="248"/>
      <c r="H145" s="4" t="s">
        <v>42</v>
      </c>
      <c r="I145" s="33">
        <v>3</v>
      </c>
      <c r="J145" s="14">
        <f>J$7*((1+'User Inputs'!$E$12)^$B144)</f>
        <v>81697.091510204074</v>
      </c>
      <c r="K145" s="14">
        <f>K$7*((1+'User Inputs'!$E$12)^$B144)</f>
        <v>112585.1873877551</v>
      </c>
      <c r="L145" s="14">
        <f>L$7*((1+'User Inputs'!$E$12)^$B144)</f>
        <v>181494.8074285714</v>
      </c>
      <c r="M145" s="14">
        <f>M$7*((1+'User Inputs'!$E$12)^$B144)</f>
        <v>384955.64375510201</v>
      </c>
      <c r="N145" s="248"/>
      <c r="O145" s="4" t="s">
        <v>42</v>
      </c>
      <c r="P145" s="33">
        <v>3</v>
      </c>
      <c r="Q145" s="14">
        <f>Q$7*((1+'User Inputs'!$E$12)^$B144)</f>
        <v>203984.4335510204</v>
      </c>
      <c r="R145" s="14">
        <f>R$7*((1+'User Inputs'!$E$12)^$B144)</f>
        <v>190806.91824489797</v>
      </c>
      <c r="S145" s="14">
        <f>S$7*((1+'User Inputs'!$E$12)^$B144)</f>
        <v>386361.2453877551</v>
      </c>
      <c r="T145" s="14">
        <f>T$7*((1+'User Inputs'!$E$12)^$B144)</f>
        <v>625313.52293877548</v>
      </c>
    </row>
    <row r="146" spans="1:20" x14ac:dyDescent="0.25">
      <c r="A146" s="4" t="s">
        <v>42</v>
      </c>
      <c r="B146" s="33">
        <v>4</v>
      </c>
      <c r="C146" s="14">
        <f>C$7*((1+'User Inputs'!$E$12)^$B145)</f>
        <v>145697.57778122448</v>
      </c>
      <c r="D146" s="14">
        <f>D$7*((1+'User Inputs'!$E$12)^$B145)</f>
        <v>154729.97387265303</v>
      </c>
      <c r="E146" s="14">
        <f>E$7*((1+'User Inputs'!$E$12)^$B145)</f>
        <v>289606.58693632652</v>
      </c>
      <c r="F146" s="14">
        <f>F$7*((1+'User Inputs'!$E$12)^$B145)</f>
        <v>515237.27501387749</v>
      </c>
      <c r="G146" s="248"/>
      <c r="H146" s="4" t="s">
        <v>42</v>
      </c>
      <c r="I146" s="33">
        <v>4</v>
      </c>
      <c r="J146" s="14">
        <f>J$7*((1+'User Inputs'!$E$12)^$B145)</f>
        <v>83331.033340408161</v>
      </c>
      <c r="K146" s="14">
        <f>K$7*((1+'User Inputs'!$E$12)^$B145)</f>
        <v>114836.89113551019</v>
      </c>
      <c r="L146" s="14">
        <f>L$7*((1+'User Inputs'!$E$12)^$B145)</f>
        <v>185124.70357714282</v>
      </c>
      <c r="M146" s="14">
        <f>M$7*((1+'User Inputs'!$E$12)^$B145)</f>
        <v>392654.75663020404</v>
      </c>
      <c r="N146" s="248"/>
      <c r="O146" s="4" t="s">
        <v>42</v>
      </c>
      <c r="P146" s="33">
        <v>4</v>
      </c>
      <c r="Q146" s="14">
        <f>Q$7*((1+'User Inputs'!$E$12)^$B145)</f>
        <v>208064.12222204078</v>
      </c>
      <c r="R146" s="14">
        <f>R$7*((1+'User Inputs'!$E$12)^$B145)</f>
        <v>194623.05660979592</v>
      </c>
      <c r="S146" s="14">
        <f>S$7*((1+'User Inputs'!$E$12)^$B145)</f>
        <v>394088.47029551014</v>
      </c>
      <c r="T146" s="14">
        <f>T$7*((1+'User Inputs'!$E$12)^$B145)</f>
        <v>637819.79339755094</v>
      </c>
    </row>
    <row r="147" spans="1:20" x14ac:dyDescent="0.25">
      <c r="A147" s="4" t="s">
        <v>42</v>
      </c>
      <c r="B147" s="33">
        <v>5</v>
      </c>
      <c r="C147" s="14">
        <f>C$7*((1+'User Inputs'!$E$12)^$B146)</f>
        <v>148611.52933684897</v>
      </c>
      <c r="D147" s="14">
        <f>D$7*((1+'User Inputs'!$E$12)^$B146)</f>
        <v>157824.5733501061</v>
      </c>
      <c r="E147" s="14">
        <f>E$7*((1+'User Inputs'!$E$12)^$B146)</f>
        <v>295398.7186750531</v>
      </c>
      <c r="F147" s="14">
        <f>F$7*((1+'User Inputs'!$E$12)^$B146)</f>
        <v>525542.02051415504</v>
      </c>
      <c r="G147" s="248"/>
      <c r="H147" s="4" t="s">
        <v>42</v>
      </c>
      <c r="I147" s="33">
        <v>5</v>
      </c>
      <c r="J147" s="14">
        <f>J$7*((1+'User Inputs'!$E$12)^$B146)</f>
        <v>84997.654007216319</v>
      </c>
      <c r="K147" s="14">
        <f>K$7*((1+'User Inputs'!$E$12)^$B146)</f>
        <v>117133.6289582204</v>
      </c>
      <c r="L147" s="14">
        <f>L$7*((1+'User Inputs'!$E$12)^$B146)</f>
        <v>188827.19764868569</v>
      </c>
      <c r="M147" s="14">
        <f>M$7*((1+'User Inputs'!$E$12)^$B146)</f>
        <v>400507.85176280816</v>
      </c>
      <c r="N147" s="248"/>
      <c r="O147" s="4" t="s">
        <v>42</v>
      </c>
      <c r="P147" s="33">
        <v>5</v>
      </c>
      <c r="Q147" s="14">
        <f>Q$7*((1+'User Inputs'!$E$12)^$B146)</f>
        <v>212225.40466648163</v>
      </c>
      <c r="R147" s="14">
        <f>R$7*((1+'User Inputs'!$E$12)^$B146)</f>
        <v>198515.51774199185</v>
      </c>
      <c r="S147" s="14">
        <f>S$7*((1+'User Inputs'!$E$12)^$B146)</f>
        <v>401970.23970142036</v>
      </c>
      <c r="T147" s="14">
        <f>T$7*((1+'User Inputs'!$E$12)^$B146)</f>
        <v>650576.18926550203</v>
      </c>
    </row>
    <row r="148" spans="1:20" x14ac:dyDescent="0.25">
      <c r="A148" s="4" t="s">
        <v>42</v>
      </c>
      <c r="B148" s="33">
        <v>6</v>
      </c>
      <c r="C148" s="14">
        <f>C$7*((1+'User Inputs'!$E$12)^$B147)</f>
        <v>151583.75992358595</v>
      </c>
      <c r="D148" s="14">
        <f>D$7*((1+'User Inputs'!$E$12)^$B147)</f>
        <v>160981.06481710824</v>
      </c>
      <c r="E148" s="14">
        <f>E$7*((1+'User Inputs'!$E$12)^$B147)</f>
        <v>301306.69304855412</v>
      </c>
      <c r="F148" s="14">
        <f>F$7*((1+'User Inputs'!$E$12)^$B147)</f>
        <v>536052.86092443822</v>
      </c>
      <c r="G148" s="248"/>
      <c r="H148" s="4" t="s">
        <v>42</v>
      </c>
      <c r="I148" s="33">
        <v>6</v>
      </c>
      <c r="J148" s="14">
        <f>J$7*((1+'User Inputs'!$E$12)^$B147)</f>
        <v>86697.607087360651</v>
      </c>
      <c r="K148" s="14">
        <f>K$7*((1+'User Inputs'!$E$12)^$B147)</f>
        <v>119476.30153738482</v>
      </c>
      <c r="L148" s="14">
        <f>L$7*((1+'User Inputs'!$E$12)^$B147)</f>
        <v>192603.74160165942</v>
      </c>
      <c r="M148" s="14">
        <f>M$7*((1+'User Inputs'!$E$12)^$B147)</f>
        <v>408518.00879806431</v>
      </c>
      <c r="N148" s="248"/>
      <c r="O148" s="4" t="s">
        <v>42</v>
      </c>
      <c r="P148" s="33">
        <v>6</v>
      </c>
      <c r="Q148" s="14">
        <f>Q$7*((1+'User Inputs'!$E$12)^$B147)</f>
        <v>216469.91275981127</v>
      </c>
      <c r="R148" s="14">
        <f>R$7*((1+'User Inputs'!$E$12)^$B147)</f>
        <v>202485.82809683168</v>
      </c>
      <c r="S148" s="14">
        <f>S$7*((1+'User Inputs'!$E$12)^$B147)</f>
        <v>410009.6444954488</v>
      </c>
      <c r="T148" s="14">
        <f>T$7*((1+'User Inputs'!$E$12)^$B147)</f>
        <v>663587.71305081202</v>
      </c>
    </row>
    <row r="149" spans="1:20" x14ac:dyDescent="0.25">
      <c r="A149" s="4" t="s">
        <v>42</v>
      </c>
      <c r="B149" s="33">
        <v>7</v>
      </c>
      <c r="C149" s="14">
        <f>C$7*((1+'User Inputs'!$E$12)^$B148)</f>
        <v>154615.43512205768</v>
      </c>
      <c r="D149" s="14">
        <f>D$7*((1+'User Inputs'!$E$12)^$B148)</f>
        <v>164200.68611345041</v>
      </c>
      <c r="E149" s="14">
        <f>E$7*((1+'User Inputs'!$E$12)^$B148)</f>
        <v>307332.82690952526</v>
      </c>
      <c r="F149" s="14">
        <f>F$7*((1+'User Inputs'!$E$12)^$B148)</f>
        <v>546773.918142927</v>
      </c>
      <c r="G149" s="248"/>
      <c r="H149" s="4" t="s">
        <v>42</v>
      </c>
      <c r="I149" s="33">
        <v>7</v>
      </c>
      <c r="J149" s="14">
        <f>J$7*((1+'User Inputs'!$E$12)^$B148)</f>
        <v>88431.559229107865</v>
      </c>
      <c r="K149" s="14">
        <f>K$7*((1+'User Inputs'!$E$12)^$B148)</f>
        <v>121865.82756813252</v>
      </c>
      <c r="L149" s="14">
        <f>L$7*((1+'User Inputs'!$E$12)^$B148)</f>
        <v>196455.81643369261</v>
      </c>
      <c r="M149" s="14">
        <f>M$7*((1+'User Inputs'!$E$12)^$B148)</f>
        <v>416688.36897402565</v>
      </c>
      <c r="N149" s="248"/>
      <c r="O149" s="4" t="s">
        <v>42</v>
      </c>
      <c r="P149" s="33">
        <v>7</v>
      </c>
      <c r="Q149" s="14">
        <f>Q$7*((1+'User Inputs'!$E$12)^$B148)</f>
        <v>220799.31101500749</v>
      </c>
      <c r="R149" s="14">
        <f>R$7*((1+'User Inputs'!$E$12)^$B148)</f>
        <v>206535.54465876834</v>
      </c>
      <c r="S149" s="14">
        <f>S$7*((1+'User Inputs'!$E$12)^$B148)</f>
        <v>418209.83738535782</v>
      </c>
      <c r="T149" s="14">
        <f>T$7*((1+'User Inputs'!$E$12)^$B148)</f>
        <v>676859.46731182828</v>
      </c>
    </row>
    <row r="150" spans="1:20" x14ac:dyDescent="0.25">
      <c r="A150" s="4" t="s">
        <v>42</v>
      </c>
      <c r="B150" s="33">
        <v>8</v>
      </c>
      <c r="C150" s="14">
        <f>C$7*((1+'User Inputs'!$E$12)^$B149)</f>
        <v>157707.74382449879</v>
      </c>
      <c r="D150" s="14">
        <f>D$7*((1+'User Inputs'!$E$12)^$B149)</f>
        <v>167484.6998357194</v>
      </c>
      <c r="E150" s="14">
        <f>E$7*((1+'User Inputs'!$E$12)^$B149)</f>
        <v>313479.4834477157</v>
      </c>
      <c r="F150" s="14">
        <f>F$7*((1+'User Inputs'!$E$12)^$B149)</f>
        <v>557709.39650578541</v>
      </c>
      <c r="G150" s="248"/>
      <c r="H150" s="4" t="s">
        <v>42</v>
      </c>
      <c r="I150" s="33">
        <v>8</v>
      </c>
      <c r="J150" s="14">
        <f>J$7*((1+'User Inputs'!$E$12)^$B149)</f>
        <v>90200.190413690012</v>
      </c>
      <c r="K150" s="14">
        <f>K$7*((1+'User Inputs'!$E$12)^$B149)</f>
        <v>124303.14411949513</v>
      </c>
      <c r="L150" s="14">
        <f>L$7*((1+'User Inputs'!$E$12)^$B149)</f>
        <v>200384.93276236643</v>
      </c>
      <c r="M150" s="14">
        <f>M$7*((1+'User Inputs'!$E$12)^$B149)</f>
        <v>425022.13635350607</v>
      </c>
      <c r="N150" s="248"/>
      <c r="O150" s="4" t="s">
        <v>42</v>
      </c>
      <c r="P150" s="33">
        <v>8</v>
      </c>
      <c r="Q150" s="14">
        <f>Q$7*((1+'User Inputs'!$E$12)^$B149)</f>
        <v>225215.2972353076</v>
      </c>
      <c r="R150" s="14">
        <f>R$7*((1+'User Inputs'!$E$12)^$B149)</f>
        <v>210666.25555194364</v>
      </c>
      <c r="S150" s="14">
        <f>S$7*((1+'User Inputs'!$E$12)^$B149)</f>
        <v>426574.03413306485</v>
      </c>
      <c r="T150" s="14">
        <f>T$7*((1+'User Inputs'!$E$12)^$B149)</f>
        <v>690396.65665806469</v>
      </c>
    </row>
    <row r="151" spans="1:20" x14ac:dyDescent="0.25">
      <c r="A151" s="4" t="s">
        <v>42</v>
      </c>
      <c r="B151" s="33">
        <v>9</v>
      </c>
      <c r="C151" s="14">
        <f>C$7*((1+'User Inputs'!$E$12)^$B150)</f>
        <v>160861.89870098879</v>
      </c>
      <c r="D151" s="14">
        <f>D$7*((1+'User Inputs'!$E$12)^$B150)</f>
        <v>170834.39383243379</v>
      </c>
      <c r="E151" s="14">
        <f>E$7*((1+'User Inputs'!$E$12)^$B150)</f>
        <v>319749.07311667001</v>
      </c>
      <c r="F151" s="14">
        <f>F$7*((1+'User Inputs'!$E$12)^$B150)</f>
        <v>568863.58443590114</v>
      </c>
      <c r="G151" s="248"/>
      <c r="H151" s="4" t="s">
        <v>42</v>
      </c>
      <c r="I151" s="33">
        <v>9</v>
      </c>
      <c r="J151" s="14">
        <f>J$7*((1+'User Inputs'!$E$12)^$B150)</f>
        <v>92004.194221963815</v>
      </c>
      <c r="K151" s="14">
        <f>K$7*((1+'User Inputs'!$E$12)^$B150)</f>
        <v>126789.20700188505</v>
      </c>
      <c r="L151" s="14">
        <f>L$7*((1+'User Inputs'!$E$12)^$B150)</f>
        <v>204392.63141761377</v>
      </c>
      <c r="M151" s="14">
        <f>M$7*((1+'User Inputs'!$E$12)^$B150)</f>
        <v>433522.57908057619</v>
      </c>
      <c r="N151" s="248"/>
      <c r="O151" s="4" t="s">
        <v>42</v>
      </c>
      <c r="P151" s="33">
        <v>9</v>
      </c>
      <c r="Q151" s="14">
        <f>Q$7*((1+'User Inputs'!$E$12)^$B150)</f>
        <v>229719.60318001377</v>
      </c>
      <c r="R151" s="14">
        <f>R$7*((1+'User Inputs'!$E$12)^$B150)</f>
        <v>214879.58066298254</v>
      </c>
      <c r="S151" s="14">
        <f>S$7*((1+'User Inputs'!$E$12)^$B150)</f>
        <v>435105.5148157262</v>
      </c>
      <c r="T151" s="14">
        <f>T$7*((1+'User Inputs'!$E$12)^$B150)</f>
        <v>704204.58979122608</v>
      </c>
    </row>
    <row r="152" spans="1:20" x14ac:dyDescent="0.25">
      <c r="A152" s="4" t="s">
        <v>42</v>
      </c>
      <c r="B152" s="33">
        <v>10</v>
      </c>
      <c r="C152" s="14">
        <f>C$7*((1+'User Inputs'!$E$12)^$B151)</f>
        <v>164079.13667500854</v>
      </c>
      <c r="D152" s="14">
        <f>D$7*((1+'User Inputs'!$E$12)^$B151)</f>
        <v>174251.08170908247</v>
      </c>
      <c r="E152" s="14">
        <f>E$7*((1+'User Inputs'!$E$12)^$B151)</f>
        <v>326144.05457900342</v>
      </c>
      <c r="F152" s="14">
        <f>F$7*((1+'User Inputs'!$E$12)^$B151)</f>
        <v>580240.85612461914</v>
      </c>
      <c r="G152" s="248"/>
      <c r="H152" s="4" t="s">
        <v>42</v>
      </c>
      <c r="I152" s="33">
        <v>10</v>
      </c>
      <c r="J152" s="14">
        <f>J$7*((1+'User Inputs'!$E$12)^$B151)</f>
        <v>93844.278106403101</v>
      </c>
      <c r="K152" s="14">
        <f>K$7*((1+'User Inputs'!$E$12)^$B151)</f>
        <v>129324.99114192276</v>
      </c>
      <c r="L152" s="14">
        <f>L$7*((1+'User Inputs'!$E$12)^$B151)</f>
        <v>208480.48404596603</v>
      </c>
      <c r="M152" s="14">
        <f>M$7*((1+'User Inputs'!$E$12)^$B151)</f>
        <v>442193.03066218772</v>
      </c>
      <c r="N152" s="248"/>
      <c r="O152" s="4" t="s">
        <v>42</v>
      </c>
      <c r="P152" s="33">
        <v>10</v>
      </c>
      <c r="Q152" s="14">
        <f>Q$7*((1+'User Inputs'!$E$12)^$B151)</f>
        <v>234313.99524361404</v>
      </c>
      <c r="R152" s="14">
        <f>R$7*((1+'User Inputs'!$E$12)^$B151)</f>
        <v>219177.1722762422</v>
      </c>
      <c r="S152" s="14">
        <f>S$7*((1+'User Inputs'!$E$12)^$B151)</f>
        <v>443807.62511204073</v>
      </c>
      <c r="T152" s="14">
        <f>T$7*((1+'User Inputs'!$E$12)^$B151)</f>
        <v>718288.68158705067</v>
      </c>
    </row>
    <row r="153" spans="1:20" x14ac:dyDescent="0.25">
      <c r="A153" s="4" t="s">
        <v>42</v>
      </c>
      <c r="B153" s="33">
        <v>11</v>
      </c>
      <c r="C153" s="14">
        <f>C$7*((1+'User Inputs'!$E$12)^$B152)</f>
        <v>167360.71940850874</v>
      </c>
      <c r="D153" s="14">
        <f>D$7*((1+'User Inputs'!$E$12)^$B152)</f>
        <v>177736.10334326411</v>
      </c>
      <c r="E153" s="14">
        <f>E$7*((1+'User Inputs'!$E$12)^$B152)</f>
        <v>332666.93567058351</v>
      </c>
      <c r="F153" s="14">
        <f>F$7*((1+'User Inputs'!$E$12)^$B152)</f>
        <v>591845.67324711161</v>
      </c>
      <c r="G153" s="248"/>
      <c r="H153" s="4" t="s">
        <v>42</v>
      </c>
      <c r="I153" s="33">
        <v>11</v>
      </c>
      <c r="J153" s="14">
        <f>J$7*((1+'User Inputs'!$E$12)^$B152)</f>
        <v>95721.163668531168</v>
      </c>
      <c r="K153" s="14">
        <f>K$7*((1+'User Inputs'!$E$12)^$B152)</f>
        <v>131911.49096476121</v>
      </c>
      <c r="L153" s="14">
        <f>L$7*((1+'User Inputs'!$E$12)^$B152)</f>
        <v>212650.09372688536</v>
      </c>
      <c r="M153" s="14">
        <f>M$7*((1+'User Inputs'!$E$12)^$B152)</f>
        <v>451036.8912754315</v>
      </c>
      <c r="N153" s="248"/>
      <c r="O153" s="4" t="s">
        <v>42</v>
      </c>
      <c r="P153" s="33">
        <v>11</v>
      </c>
      <c r="Q153" s="14">
        <f>Q$7*((1+'User Inputs'!$E$12)^$B152)</f>
        <v>239000.27514848634</v>
      </c>
      <c r="R153" s="14">
        <f>R$7*((1+'User Inputs'!$E$12)^$B152)</f>
        <v>223560.71572176705</v>
      </c>
      <c r="S153" s="14">
        <f>S$7*((1+'User Inputs'!$E$12)^$B152)</f>
        <v>452683.77761428157</v>
      </c>
      <c r="T153" s="14">
        <f>T$7*((1+'User Inputs'!$E$12)^$B152)</f>
        <v>732654.45521879173</v>
      </c>
    </row>
    <row r="154" spans="1:20" x14ac:dyDescent="0.25">
      <c r="A154" s="4" t="s">
        <v>42</v>
      </c>
      <c r="B154" s="33">
        <v>12</v>
      </c>
      <c r="C154" s="14">
        <f>C$7*((1+'User Inputs'!$E$12)^$B153)</f>
        <v>170707.93379667887</v>
      </c>
      <c r="D154" s="14">
        <f>D$7*((1+'User Inputs'!$E$12)^$B153)</f>
        <v>181290.82541012936</v>
      </c>
      <c r="E154" s="14">
        <f>E$7*((1+'User Inputs'!$E$12)^$B153)</f>
        <v>339320.2743839951</v>
      </c>
      <c r="F154" s="14">
        <f>F$7*((1+'User Inputs'!$E$12)^$B153)</f>
        <v>603682.58671205374</v>
      </c>
      <c r="G154" s="248"/>
      <c r="H154" s="4" t="s">
        <v>42</v>
      </c>
      <c r="I154" s="33">
        <v>12</v>
      </c>
      <c r="J154" s="14">
        <f>J$7*((1+'User Inputs'!$E$12)^$B153)</f>
        <v>97635.586941901769</v>
      </c>
      <c r="K154" s="14">
        <f>K$7*((1+'User Inputs'!$E$12)^$B153)</f>
        <v>134549.72078405641</v>
      </c>
      <c r="L154" s="14">
        <f>L$7*((1+'User Inputs'!$E$12)^$B153)</f>
        <v>216903.09560142303</v>
      </c>
      <c r="M154" s="14">
        <f>M$7*((1+'User Inputs'!$E$12)^$B153)</f>
        <v>460057.62910094007</v>
      </c>
      <c r="N154" s="248"/>
      <c r="O154" s="4" t="s">
        <v>42</v>
      </c>
      <c r="P154" s="33">
        <v>12</v>
      </c>
      <c r="Q154" s="14">
        <f>Q$7*((1+'User Inputs'!$E$12)^$B153)</f>
        <v>243780.28065145601</v>
      </c>
      <c r="R154" s="14">
        <f>R$7*((1+'User Inputs'!$E$12)^$B153)</f>
        <v>228031.93003620234</v>
      </c>
      <c r="S154" s="14">
        <f>S$7*((1+'User Inputs'!$E$12)^$B153)</f>
        <v>461737.45316656708</v>
      </c>
      <c r="T154" s="14">
        <f>T$7*((1+'User Inputs'!$E$12)^$B153)</f>
        <v>747307.54432316741</v>
      </c>
    </row>
    <row r="155" spans="1:20" x14ac:dyDescent="0.25">
      <c r="A155" s="4" t="s">
        <v>42</v>
      </c>
      <c r="B155" s="33">
        <v>13</v>
      </c>
      <c r="C155" s="14">
        <f>C$7*((1+'User Inputs'!$E$12)^$B154)</f>
        <v>174122.09247261248</v>
      </c>
      <c r="D155" s="14">
        <f>D$7*((1+'User Inputs'!$E$12)^$B154)</f>
        <v>184916.641918332</v>
      </c>
      <c r="E155" s="14">
        <f>E$7*((1+'User Inputs'!$E$12)^$B154)</f>
        <v>346106.67987167509</v>
      </c>
      <c r="F155" s="14">
        <f>F$7*((1+'User Inputs'!$E$12)^$B154)</f>
        <v>615756.23844629491</v>
      </c>
      <c r="G155" s="248"/>
      <c r="H155" s="4" t="s">
        <v>42</v>
      </c>
      <c r="I155" s="33">
        <v>13</v>
      </c>
      <c r="J155" s="14">
        <f>J$7*((1+'User Inputs'!$E$12)^$B154)</f>
        <v>99588.298680739812</v>
      </c>
      <c r="K155" s="14">
        <f>K$7*((1+'User Inputs'!$E$12)^$B154)</f>
        <v>137240.71519973758</v>
      </c>
      <c r="L155" s="14">
        <f>L$7*((1+'User Inputs'!$E$12)^$B154)</f>
        <v>221241.15751345153</v>
      </c>
      <c r="M155" s="14">
        <f>M$7*((1+'User Inputs'!$E$12)^$B154)</f>
        <v>469258.78168295894</v>
      </c>
      <c r="N155" s="248"/>
      <c r="O155" s="4" t="s">
        <v>42</v>
      </c>
      <c r="P155" s="33">
        <v>13</v>
      </c>
      <c r="Q155" s="14">
        <f>Q$7*((1+'User Inputs'!$E$12)^$B154)</f>
        <v>248655.88626448516</v>
      </c>
      <c r="R155" s="14">
        <f>R$7*((1+'User Inputs'!$E$12)^$B154)</f>
        <v>232592.56863692641</v>
      </c>
      <c r="S155" s="14">
        <f>S$7*((1+'User Inputs'!$E$12)^$B154)</f>
        <v>470972.20222989854</v>
      </c>
      <c r="T155" s="14">
        <f>T$7*((1+'User Inputs'!$E$12)^$B154)</f>
        <v>762253.69520963088</v>
      </c>
    </row>
    <row r="156" spans="1:20" x14ac:dyDescent="0.25">
      <c r="A156" s="4" t="s">
        <v>42</v>
      </c>
      <c r="B156" s="33">
        <v>14</v>
      </c>
      <c r="C156" s="14">
        <f>C$7*((1+'User Inputs'!$E$12)^$B155)</f>
        <v>177604.53432206472</v>
      </c>
      <c r="D156" s="14">
        <f>D$7*((1+'User Inputs'!$E$12)^$B155)</f>
        <v>188614.97475669862</v>
      </c>
      <c r="E156" s="14">
        <f>E$7*((1+'User Inputs'!$E$12)^$B155)</f>
        <v>353028.81346910854</v>
      </c>
      <c r="F156" s="14">
        <f>F$7*((1+'User Inputs'!$E$12)^$B155)</f>
        <v>628071.36321522074</v>
      </c>
      <c r="G156" s="248"/>
      <c r="H156" s="4" t="s">
        <v>42</v>
      </c>
      <c r="I156" s="33">
        <v>14</v>
      </c>
      <c r="J156" s="14">
        <f>J$7*((1+'User Inputs'!$E$12)^$B155)</f>
        <v>101580.0646543546</v>
      </c>
      <c r="K156" s="14">
        <f>K$7*((1+'User Inputs'!$E$12)^$B155)</f>
        <v>139985.52950373231</v>
      </c>
      <c r="L156" s="14">
        <f>L$7*((1+'User Inputs'!$E$12)^$B155)</f>
        <v>225665.98066372055</v>
      </c>
      <c r="M156" s="14">
        <f>M$7*((1+'User Inputs'!$E$12)^$B155)</f>
        <v>478643.95731661806</v>
      </c>
      <c r="N156" s="248"/>
      <c r="O156" s="4" t="s">
        <v>42</v>
      </c>
      <c r="P156" s="33">
        <v>14</v>
      </c>
      <c r="Q156" s="14">
        <f>Q$7*((1+'User Inputs'!$E$12)^$B155)</f>
        <v>253629.00398977485</v>
      </c>
      <c r="R156" s="14">
        <f>R$7*((1+'User Inputs'!$E$12)^$B155)</f>
        <v>237244.42000966493</v>
      </c>
      <c r="S156" s="14">
        <f>S$7*((1+'User Inputs'!$E$12)^$B155)</f>
        <v>480391.64627449645</v>
      </c>
      <c r="T156" s="14">
        <f>T$7*((1+'User Inputs'!$E$12)^$B155)</f>
        <v>777498.76911382342</v>
      </c>
    </row>
    <row r="157" spans="1:20" x14ac:dyDescent="0.25">
      <c r="A157" s="4" t="s">
        <v>42</v>
      </c>
      <c r="B157" s="33">
        <v>15</v>
      </c>
      <c r="C157" s="14">
        <f>C$7*((1+'User Inputs'!$E$12)^$B156)</f>
        <v>181156.62500850603</v>
      </c>
      <c r="D157" s="14">
        <f>D$7*((1+'User Inputs'!$E$12)^$B156)</f>
        <v>192387.2742518326</v>
      </c>
      <c r="E157" s="14">
        <f>E$7*((1+'User Inputs'!$E$12)^$B156)</f>
        <v>360089.38973849075</v>
      </c>
      <c r="F157" s="14">
        <f>F$7*((1+'User Inputs'!$E$12)^$B156)</f>
        <v>640632.79047952523</v>
      </c>
      <c r="G157" s="248"/>
      <c r="H157" s="4" t="s">
        <v>42</v>
      </c>
      <c r="I157" s="33">
        <v>15</v>
      </c>
      <c r="J157" s="14">
        <f>J$7*((1+'User Inputs'!$E$12)^$B156)</f>
        <v>103611.66594744171</v>
      </c>
      <c r="K157" s="14">
        <f>K$7*((1+'User Inputs'!$E$12)^$B156)</f>
        <v>142785.24009380696</v>
      </c>
      <c r="L157" s="14">
        <f>L$7*((1+'User Inputs'!$E$12)^$B156)</f>
        <v>230179.300276995</v>
      </c>
      <c r="M157" s="14">
        <f>M$7*((1+'User Inputs'!$E$12)^$B156)</f>
        <v>488216.83646295051</v>
      </c>
      <c r="N157" s="248"/>
      <c r="O157" s="4" t="s">
        <v>42</v>
      </c>
      <c r="P157" s="33">
        <v>15</v>
      </c>
      <c r="Q157" s="14">
        <f>Q$7*((1+'User Inputs'!$E$12)^$B156)</f>
        <v>258701.58406957038</v>
      </c>
      <c r="R157" s="14">
        <f>R$7*((1+'User Inputs'!$E$12)^$B156)</f>
        <v>241989.30840985826</v>
      </c>
      <c r="S157" s="14">
        <f>S$7*((1+'User Inputs'!$E$12)^$B156)</f>
        <v>489999.47919998644</v>
      </c>
      <c r="T157" s="14">
        <f>T$7*((1+'User Inputs'!$E$12)^$B156)</f>
        <v>793048.7444961</v>
      </c>
    </row>
    <row r="158" spans="1:20" x14ac:dyDescent="0.25">
      <c r="A158" s="4" t="s">
        <v>42</v>
      </c>
      <c r="B158" s="33">
        <v>16</v>
      </c>
      <c r="C158" s="14">
        <f>C$7*((1+'User Inputs'!$E$12)^$B157)</f>
        <v>184779.75750867612</v>
      </c>
      <c r="D158" s="14">
        <f>D$7*((1+'User Inputs'!$E$12)^$B157)</f>
        <v>196235.0197368692</v>
      </c>
      <c r="E158" s="14">
        <f>E$7*((1+'User Inputs'!$E$12)^$B157)</f>
        <v>367291.17753326049</v>
      </c>
      <c r="F158" s="14">
        <f>F$7*((1+'User Inputs'!$E$12)^$B157)</f>
        <v>653445.44628911559</v>
      </c>
      <c r="G158" s="104"/>
      <c r="H158" s="4" t="s">
        <v>42</v>
      </c>
      <c r="I158" s="33">
        <v>16</v>
      </c>
      <c r="J158" s="14">
        <f>J$7*((1+'User Inputs'!$E$12)^$B157)</f>
        <v>105683.89926639052</v>
      </c>
      <c r="K158" s="14">
        <f>K$7*((1+'User Inputs'!$E$12)^$B157)</f>
        <v>145640.94489568306</v>
      </c>
      <c r="L158" s="14">
        <f>L$7*((1+'User Inputs'!$E$12)^$B157)</f>
        <v>234782.88628253483</v>
      </c>
      <c r="M158" s="14">
        <f>M$7*((1+'User Inputs'!$E$12)^$B157)</f>
        <v>497981.17319220939</v>
      </c>
      <c r="N158" s="248"/>
      <c r="O158" s="4" t="s">
        <v>42</v>
      </c>
      <c r="P158" s="33">
        <v>16</v>
      </c>
      <c r="Q158" s="14">
        <f>Q$7*((1+'User Inputs'!$E$12)^$B157)</f>
        <v>263875.6157509617</v>
      </c>
      <c r="R158" s="14">
        <f>R$7*((1+'User Inputs'!$E$12)^$B157)</f>
        <v>246829.09457805537</v>
      </c>
      <c r="S158" s="14">
        <f>S$7*((1+'User Inputs'!$E$12)^$B157)</f>
        <v>499799.46878398606</v>
      </c>
      <c r="T158" s="14">
        <f>T$7*((1+'User Inputs'!$E$12)^$B157)</f>
        <v>808909.71938602172</v>
      </c>
    </row>
    <row r="159" spans="1:20" x14ac:dyDescent="0.25">
      <c r="A159" s="4" t="s">
        <v>42</v>
      </c>
      <c r="B159" s="33">
        <v>17</v>
      </c>
      <c r="C159" s="14">
        <f>C$7*((1+'User Inputs'!$E$12)^$B158)</f>
        <v>188475.35265884968</v>
      </c>
      <c r="D159" s="14">
        <f>D$7*((1+'User Inputs'!$E$12)^$B158)</f>
        <v>200159.72013160662</v>
      </c>
      <c r="E159" s="14">
        <f>E$7*((1+'User Inputs'!$E$12)^$B158)</f>
        <v>374637.00108392572</v>
      </c>
      <c r="F159" s="14">
        <f>F$7*((1+'User Inputs'!$E$12)^$B158)</f>
        <v>666514.35521489801</v>
      </c>
      <c r="G159" s="104"/>
      <c r="H159" s="4" t="s">
        <v>42</v>
      </c>
      <c r="I159" s="33">
        <v>17</v>
      </c>
      <c r="J159" s="14">
        <f>J$7*((1+'User Inputs'!$E$12)^$B158)</f>
        <v>107797.57725171835</v>
      </c>
      <c r="K159" s="14">
        <f>K$7*((1+'User Inputs'!$E$12)^$B158)</f>
        <v>148553.76379359677</v>
      </c>
      <c r="L159" s="14">
        <f>L$7*((1+'User Inputs'!$E$12)^$B158)</f>
        <v>239478.54400818556</v>
      </c>
      <c r="M159" s="14">
        <f>M$7*((1+'User Inputs'!$E$12)^$B158)</f>
        <v>507940.79665605363</v>
      </c>
      <c r="N159" s="248"/>
      <c r="O159" s="4" t="s">
        <v>42</v>
      </c>
      <c r="P159" s="33">
        <v>17</v>
      </c>
      <c r="Q159" s="14">
        <f>Q$7*((1+'User Inputs'!$E$12)^$B158)</f>
        <v>269153.12806598097</v>
      </c>
      <c r="R159" s="14">
        <f>R$7*((1+'User Inputs'!$E$12)^$B158)</f>
        <v>251765.6764696165</v>
      </c>
      <c r="S159" s="14">
        <f>S$7*((1+'User Inputs'!$E$12)^$B158)</f>
        <v>509795.45815966587</v>
      </c>
      <c r="T159" s="14">
        <f>T$7*((1+'User Inputs'!$E$12)^$B158)</f>
        <v>825087.91377374227</v>
      </c>
    </row>
    <row r="160" spans="1:20" x14ac:dyDescent="0.25">
      <c r="A160" s="4" t="s">
        <v>42</v>
      </c>
      <c r="B160" s="33">
        <v>18</v>
      </c>
      <c r="C160" s="14">
        <f>C$7*((1+'User Inputs'!$E$12)^$B159)</f>
        <v>192244.85971202666</v>
      </c>
      <c r="D160" s="14">
        <f>D$7*((1+'User Inputs'!$E$12)^$B159)</f>
        <v>204162.91453423878</v>
      </c>
      <c r="E160" s="14">
        <f>E$7*((1+'User Inputs'!$E$12)^$B159)</f>
        <v>382129.74110560428</v>
      </c>
      <c r="F160" s="14">
        <f>F$7*((1+'User Inputs'!$E$12)^$B159)</f>
        <v>679844.64231919602</v>
      </c>
      <c r="G160" s="104"/>
      <c r="H160" s="4" t="s">
        <v>42</v>
      </c>
      <c r="I160" s="33">
        <v>18</v>
      </c>
      <c r="J160" s="14">
        <f>J$7*((1+'User Inputs'!$E$12)^$B159)</f>
        <v>109953.52879675273</v>
      </c>
      <c r="K160" s="14">
        <f>K$7*((1+'User Inputs'!$E$12)^$B159)</f>
        <v>151524.8390694687</v>
      </c>
      <c r="L160" s="14">
        <f>L$7*((1+'User Inputs'!$E$12)^$B159)</f>
        <v>244268.11488834929</v>
      </c>
      <c r="M160" s="14">
        <f>M$7*((1+'User Inputs'!$E$12)^$B159)</f>
        <v>518099.61258917477</v>
      </c>
      <c r="N160" s="248"/>
      <c r="O160" s="4" t="s">
        <v>42</v>
      </c>
      <c r="P160" s="33">
        <v>18</v>
      </c>
      <c r="Q160" s="14">
        <f>Q$7*((1+'User Inputs'!$E$12)^$B159)</f>
        <v>274536.19062730065</v>
      </c>
      <c r="R160" s="14">
        <f>R$7*((1+'User Inputs'!$E$12)^$B159)</f>
        <v>256800.98999900886</v>
      </c>
      <c r="S160" s="14">
        <f>S$7*((1+'User Inputs'!$E$12)^$B159)</f>
        <v>519991.36732285918</v>
      </c>
      <c r="T160" s="14">
        <f>T$7*((1+'User Inputs'!$E$12)^$B159)</f>
        <v>841589.67204921728</v>
      </c>
    </row>
    <row r="161" spans="1:20" x14ac:dyDescent="0.25">
      <c r="A161" s="4" t="s">
        <v>42</v>
      </c>
      <c r="B161" s="33">
        <v>19</v>
      </c>
      <c r="C161" s="14">
        <f>C$7*((1+'User Inputs'!$E$12)^$B160)</f>
        <v>196089.75690626717</v>
      </c>
      <c r="D161" s="14">
        <f>D$7*((1+'User Inputs'!$E$12)^$B160)</f>
        <v>208246.17282492353</v>
      </c>
      <c r="E161" s="14">
        <f>E$7*((1+'User Inputs'!$E$12)^$B160)</f>
        <v>389772.33592771634</v>
      </c>
      <c r="F161" s="14">
        <f>F$7*((1+'User Inputs'!$E$12)^$B160)</f>
        <v>693441.53516557987</v>
      </c>
      <c r="G161" s="104"/>
      <c r="H161" s="4" t="s">
        <v>42</v>
      </c>
      <c r="I161" s="33">
        <v>19</v>
      </c>
      <c r="J161" s="14">
        <f>J$7*((1+'User Inputs'!$E$12)^$B160)</f>
        <v>112152.59937268776</v>
      </c>
      <c r="K161" s="14">
        <f>K$7*((1+'User Inputs'!$E$12)^$B160)</f>
        <v>154555.33585085807</v>
      </c>
      <c r="L161" s="14">
        <f>L$7*((1+'User Inputs'!$E$12)^$B160)</f>
        <v>249153.47718611624</v>
      </c>
      <c r="M161" s="14">
        <f>M$7*((1+'User Inputs'!$E$12)^$B160)</f>
        <v>528461.60484095814</v>
      </c>
      <c r="N161" s="248"/>
      <c r="O161" s="4" t="s">
        <v>42</v>
      </c>
      <c r="P161" s="33">
        <v>19</v>
      </c>
      <c r="Q161" s="14">
        <f>Q$7*((1+'User Inputs'!$E$12)^$B160)</f>
        <v>280026.91443984665</v>
      </c>
      <c r="R161" s="14">
        <f>R$7*((1+'User Inputs'!$E$12)^$B160)</f>
        <v>261937.00979898902</v>
      </c>
      <c r="S161" s="14">
        <f>S$7*((1+'User Inputs'!$E$12)^$B160)</f>
        <v>530391.19466931629</v>
      </c>
      <c r="T161" s="14">
        <f>T$7*((1+'User Inputs'!$E$12)^$B160)</f>
        <v>858421.46549020149</v>
      </c>
    </row>
    <row r="162" spans="1:20" x14ac:dyDescent="0.25">
      <c r="A162" s="4" t="s">
        <v>42</v>
      </c>
      <c r="B162" s="33">
        <v>20</v>
      </c>
      <c r="C162" s="14">
        <f>C$7*((1+'User Inputs'!$E$12)^$B161)</f>
        <v>200011.55204439251</v>
      </c>
      <c r="D162" s="14">
        <f>D$7*((1+'User Inputs'!$E$12)^$B161)</f>
        <v>212411.09628142198</v>
      </c>
      <c r="E162" s="14">
        <f>E$7*((1+'User Inputs'!$E$12)^$B161)</f>
        <v>397567.78264627064</v>
      </c>
      <c r="F162" s="14">
        <f>F$7*((1+'User Inputs'!$E$12)^$B161)</f>
        <v>707310.36586889136</v>
      </c>
      <c r="G162" s="104"/>
      <c r="H162" s="4" t="s">
        <v>42</v>
      </c>
      <c r="I162" s="33">
        <v>20</v>
      </c>
      <c r="J162" s="14">
        <f>J$7*((1+'User Inputs'!$E$12)^$B161)</f>
        <v>114395.65136014151</v>
      </c>
      <c r="K162" s="14">
        <f>K$7*((1+'User Inputs'!$E$12)^$B161)</f>
        <v>157646.44256787523</v>
      </c>
      <c r="L162" s="14">
        <f>L$7*((1+'User Inputs'!$E$12)^$B161)</f>
        <v>254136.54672983856</v>
      </c>
      <c r="M162" s="14">
        <f>M$7*((1+'User Inputs'!$E$12)^$B161)</f>
        <v>539030.83693777735</v>
      </c>
      <c r="N162" s="248"/>
      <c r="O162" s="4" t="s">
        <v>42</v>
      </c>
      <c r="P162" s="33">
        <v>20</v>
      </c>
      <c r="Q162" s="14">
        <f>Q$7*((1+'User Inputs'!$E$12)^$B161)</f>
        <v>285627.45272864355</v>
      </c>
      <c r="R162" s="14">
        <f>R$7*((1+'User Inputs'!$E$12)^$B161)</f>
        <v>267175.74999496876</v>
      </c>
      <c r="S162" s="14">
        <f>S$7*((1+'User Inputs'!$E$12)^$B161)</f>
        <v>540999.01856270258</v>
      </c>
      <c r="T162" s="14">
        <f>T$7*((1+'User Inputs'!$E$12)^$B161)</f>
        <v>875589.89480000548</v>
      </c>
    </row>
    <row r="163" spans="1:20" x14ac:dyDescent="0.25">
      <c r="A163" s="4" t="s">
        <v>42</v>
      </c>
      <c r="B163" s="33">
        <v>21</v>
      </c>
      <c r="C163" s="14">
        <f>C$7*((1+'User Inputs'!$E$12)^$B162)</f>
        <v>204011.78308528039</v>
      </c>
      <c r="D163" s="14">
        <f>D$7*((1+'User Inputs'!$E$12)^$B162)</f>
        <v>216659.31820705044</v>
      </c>
      <c r="E163" s="14">
        <f>E$7*((1+'User Inputs'!$E$12)^$B162)</f>
        <v>405519.13829919609</v>
      </c>
      <c r="F163" s="14">
        <f>F$7*((1+'User Inputs'!$E$12)^$B162)</f>
        <v>721456.57318626926</v>
      </c>
      <c r="G163" s="104"/>
      <c r="H163" s="4" t="s">
        <v>42</v>
      </c>
      <c r="I163" s="33">
        <v>21</v>
      </c>
      <c r="J163" s="14">
        <f>J$7*((1+'User Inputs'!$E$12)^$B162)</f>
        <v>116683.56438734435</v>
      </c>
      <c r="K163" s="14">
        <f>K$7*((1+'User Inputs'!$E$12)^$B162)</f>
        <v>160799.37141923275</v>
      </c>
      <c r="L163" s="14">
        <f>L$7*((1+'User Inputs'!$E$12)^$B162)</f>
        <v>259219.27766443536</v>
      </c>
      <c r="M163" s="14">
        <f>M$7*((1+'User Inputs'!$E$12)^$B162)</f>
        <v>549811.45367653295</v>
      </c>
      <c r="N163" s="248"/>
      <c r="O163" s="4" t="s">
        <v>42</v>
      </c>
      <c r="P163" s="33">
        <v>21</v>
      </c>
      <c r="Q163" s="14">
        <f>Q$7*((1+'User Inputs'!$E$12)^$B162)</f>
        <v>291340.00178321643</v>
      </c>
      <c r="R163" s="14">
        <f>R$7*((1+'User Inputs'!$E$12)^$B162)</f>
        <v>272519.26499486819</v>
      </c>
      <c r="S163" s="14">
        <f>S$7*((1+'User Inputs'!$E$12)^$B162)</f>
        <v>551818.99893395673</v>
      </c>
      <c r="T163" s="14">
        <f>T$7*((1+'User Inputs'!$E$12)^$B162)</f>
        <v>893101.69269600569</v>
      </c>
    </row>
    <row r="164" spans="1:20" x14ac:dyDescent="0.25">
      <c r="A164" s="4" t="s">
        <v>42</v>
      </c>
      <c r="B164" s="33">
        <v>22</v>
      </c>
      <c r="C164" s="14">
        <f>C$7*((1+'User Inputs'!$E$12)^$B163)</f>
        <v>208092.018746986</v>
      </c>
      <c r="D164" s="14">
        <f>D$7*((1+'User Inputs'!$E$12)^$B163)</f>
        <v>220992.50457119144</v>
      </c>
      <c r="E164" s="14">
        <f>E$7*((1+'User Inputs'!$E$12)^$B163)</f>
        <v>413629.52106517996</v>
      </c>
      <c r="F164" s="14">
        <f>F$7*((1+'User Inputs'!$E$12)^$B163)</f>
        <v>735885.70464999462</v>
      </c>
      <c r="G164" s="104"/>
      <c r="H164" s="4" t="s">
        <v>42</v>
      </c>
      <c r="I164" s="33">
        <v>22</v>
      </c>
      <c r="J164" s="14">
        <f>J$7*((1+'User Inputs'!$E$12)^$B163)</f>
        <v>119017.23567509123</v>
      </c>
      <c r="K164" s="14">
        <f>K$7*((1+'User Inputs'!$E$12)^$B163)</f>
        <v>164015.35884761738</v>
      </c>
      <c r="L164" s="14">
        <f>L$7*((1+'User Inputs'!$E$12)^$B163)</f>
        <v>264403.66321772407</v>
      </c>
      <c r="M164" s="14">
        <f>M$7*((1+'User Inputs'!$E$12)^$B163)</f>
        <v>560807.6827500636</v>
      </c>
      <c r="N164" s="248"/>
      <c r="O164" s="4" t="s">
        <v>42</v>
      </c>
      <c r="P164" s="33">
        <v>22</v>
      </c>
      <c r="Q164" s="14">
        <f>Q$7*((1+'User Inputs'!$E$12)^$B163)</f>
        <v>297166.80181888078</v>
      </c>
      <c r="R164" s="14">
        <f>R$7*((1+'User Inputs'!$E$12)^$B163)</f>
        <v>277969.65029476554</v>
      </c>
      <c r="S164" s="14">
        <f>S$7*((1+'User Inputs'!$E$12)^$B163)</f>
        <v>562855.37891263585</v>
      </c>
      <c r="T164" s="14">
        <f>T$7*((1+'User Inputs'!$E$12)^$B163)</f>
        <v>910963.72654992575</v>
      </c>
    </row>
    <row r="165" spans="1:20" x14ac:dyDescent="0.25">
      <c r="A165" s="4" t="s">
        <v>42</v>
      </c>
      <c r="B165" s="33">
        <v>23</v>
      </c>
      <c r="C165" s="14">
        <f>C$7*((1+'User Inputs'!$E$12)^$B164)</f>
        <v>212253.85912192572</v>
      </c>
      <c r="D165" s="14">
        <f>D$7*((1+'User Inputs'!$E$12)^$B164)</f>
        <v>225412.35466261528</v>
      </c>
      <c r="E165" s="14">
        <f>E$7*((1+'User Inputs'!$E$12)^$B164)</f>
        <v>421902.1114864836</v>
      </c>
      <c r="F165" s="14">
        <f>F$7*((1+'User Inputs'!$E$12)^$B164)</f>
        <v>750603.41874299455</v>
      </c>
      <c r="G165" s="104"/>
      <c r="H165" s="4" t="s">
        <v>42</v>
      </c>
      <c r="I165" s="33">
        <v>23</v>
      </c>
      <c r="J165" s="14">
        <f>J$7*((1+'User Inputs'!$E$12)^$B164)</f>
        <v>121397.58038859307</v>
      </c>
      <c r="K165" s="14">
        <f>K$7*((1+'User Inputs'!$E$12)^$B164)</f>
        <v>167295.66602456974</v>
      </c>
      <c r="L165" s="14">
        <f>L$7*((1+'User Inputs'!$E$12)^$B164)</f>
        <v>269691.73648207856</v>
      </c>
      <c r="M165" s="14">
        <f>M$7*((1+'User Inputs'!$E$12)^$B164)</f>
        <v>572023.83640506491</v>
      </c>
      <c r="N165" s="248"/>
      <c r="O165" s="4" t="s">
        <v>42</v>
      </c>
      <c r="P165" s="33">
        <v>23</v>
      </c>
      <c r="Q165" s="14">
        <f>Q$7*((1+'User Inputs'!$E$12)^$B164)</f>
        <v>303110.13785525836</v>
      </c>
      <c r="R165" s="14">
        <f>R$7*((1+'User Inputs'!$E$12)^$B164)</f>
        <v>283529.04330066085</v>
      </c>
      <c r="S165" s="14">
        <f>S$7*((1+'User Inputs'!$E$12)^$B164)</f>
        <v>574112.48649088864</v>
      </c>
      <c r="T165" s="14">
        <f>T$7*((1+'User Inputs'!$E$12)^$B164)</f>
        <v>929183.0010809243</v>
      </c>
    </row>
    <row r="166" spans="1:20" x14ac:dyDescent="0.25">
      <c r="A166" s="4" t="s">
        <v>42</v>
      </c>
      <c r="B166" s="33">
        <v>24</v>
      </c>
      <c r="C166" s="14">
        <f>C$7*((1+'User Inputs'!$E$12)^$B165)</f>
        <v>216498.93630436418</v>
      </c>
      <c r="D166" s="14">
        <f>D$7*((1+'User Inputs'!$E$12)^$B165)</f>
        <v>229920.60175586754</v>
      </c>
      <c r="E166" s="14">
        <f>E$7*((1+'User Inputs'!$E$12)^$B165)</f>
        <v>430340.15371621319</v>
      </c>
      <c r="F166" s="14">
        <f>F$7*((1+'User Inputs'!$E$12)^$B165)</f>
        <v>765615.4871178543</v>
      </c>
      <c r="G166" s="104"/>
      <c r="H166" s="4" t="s">
        <v>42</v>
      </c>
      <c r="I166" s="33">
        <v>24</v>
      </c>
      <c r="J166" s="14">
        <f>J$7*((1+'User Inputs'!$E$12)^$B165)</f>
        <v>123825.53199636491</v>
      </c>
      <c r="K166" s="14">
        <f>K$7*((1+'User Inputs'!$E$12)^$B165)</f>
        <v>170641.57934506109</v>
      </c>
      <c r="L166" s="14">
        <f>L$7*((1+'User Inputs'!$E$12)^$B165)</f>
        <v>275085.57121172006</v>
      </c>
      <c r="M166" s="14">
        <f>M$7*((1+'User Inputs'!$E$12)^$B165)</f>
        <v>583464.31313316606</v>
      </c>
      <c r="N166" s="248"/>
      <c r="O166" s="4" t="s">
        <v>42</v>
      </c>
      <c r="P166" s="33">
        <v>24</v>
      </c>
      <c r="Q166" s="14">
        <f>Q$7*((1+'User Inputs'!$E$12)^$B165)</f>
        <v>309172.34061236348</v>
      </c>
      <c r="R166" s="14">
        <f>R$7*((1+'User Inputs'!$E$12)^$B165)</f>
        <v>289199.62416667404</v>
      </c>
      <c r="S166" s="14">
        <f>S$7*((1+'User Inputs'!$E$12)^$B165)</f>
        <v>585594.73622070625</v>
      </c>
      <c r="T166" s="14">
        <f>T$7*((1+'User Inputs'!$E$12)^$B165)</f>
        <v>947766.66110254265</v>
      </c>
    </row>
    <row r="167" spans="1:20" x14ac:dyDescent="0.25">
      <c r="A167" s="4" t="s">
        <v>42</v>
      </c>
      <c r="B167" s="33">
        <v>25</v>
      </c>
      <c r="C167" s="14">
        <f>C$7*((1+'User Inputs'!$E$12)^$B166)</f>
        <v>220828.91503045149</v>
      </c>
      <c r="D167" s="14">
        <f>D$7*((1+'User Inputs'!$E$12)^$B166)</f>
        <v>234519.0137909849</v>
      </c>
      <c r="E167" s="14">
        <f>E$7*((1+'User Inputs'!$E$12)^$B166)</f>
        <v>438946.95679053752</v>
      </c>
      <c r="F167" s="14">
        <f>F$7*((1+'User Inputs'!$E$12)^$B166)</f>
        <v>780927.79686021141</v>
      </c>
      <c r="G167" s="104"/>
      <c r="H167" s="4" t="s">
        <v>42</v>
      </c>
      <c r="I167" s="33">
        <v>25</v>
      </c>
      <c r="J167" s="14">
        <f>J$7*((1+'User Inputs'!$E$12)^$B166)</f>
        <v>126302.0426362922</v>
      </c>
      <c r="K167" s="14">
        <f>K$7*((1+'User Inputs'!$E$12)^$B166)</f>
        <v>174054.41093196234</v>
      </c>
      <c r="L167" s="14">
        <f>L$7*((1+'User Inputs'!$E$12)^$B166)</f>
        <v>280587.2826359545</v>
      </c>
      <c r="M167" s="14">
        <f>M$7*((1+'User Inputs'!$E$12)^$B166)</f>
        <v>595133.59939582937</v>
      </c>
      <c r="N167" s="248"/>
      <c r="O167" s="4" t="s">
        <v>42</v>
      </c>
      <c r="P167" s="33">
        <v>25</v>
      </c>
      <c r="Q167" s="14">
        <f>Q$7*((1+'User Inputs'!$E$12)^$B166)</f>
        <v>315355.78742461075</v>
      </c>
      <c r="R167" s="14">
        <f>R$7*((1+'User Inputs'!$E$12)^$B166)</f>
        <v>294983.61665000749</v>
      </c>
      <c r="S167" s="14">
        <f>S$7*((1+'User Inputs'!$E$12)^$B166)</f>
        <v>597306.63094512036</v>
      </c>
      <c r="T167" s="14">
        <f>T$7*((1+'User Inputs'!$E$12)^$B166)</f>
        <v>966721.99432459346</v>
      </c>
    </row>
    <row r="168" spans="1:20" x14ac:dyDescent="0.25">
      <c r="A168" s="4" t="s">
        <v>42</v>
      </c>
      <c r="B168" s="33">
        <v>26</v>
      </c>
      <c r="C168" s="14">
        <f>C$7*((1+'User Inputs'!$E$12)^$B167)</f>
        <v>225245.49333106051</v>
      </c>
      <c r="D168" s="14">
        <f>D$7*((1+'User Inputs'!$E$12)^$B167)</f>
        <v>239209.39406680461</v>
      </c>
      <c r="E168" s="14">
        <f>E$7*((1+'User Inputs'!$E$12)^$B167)</f>
        <v>447725.89592634822</v>
      </c>
      <c r="F168" s="14">
        <f>F$7*((1+'User Inputs'!$E$12)^$B167)</f>
        <v>796546.35279741569</v>
      </c>
      <c r="G168" s="104"/>
      <c r="H168" s="4" t="s">
        <v>42</v>
      </c>
      <c r="I168" s="33">
        <v>26</v>
      </c>
      <c r="J168" s="14">
        <f>J$7*((1+'User Inputs'!$E$12)^$B167)</f>
        <v>128828.08348901806</v>
      </c>
      <c r="K168" s="14">
        <f>K$7*((1+'User Inputs'!$E$12)^$B167)</f>
        <v>177535.49915060156</v>
      </c>
      <c r="L168" s="14">
        <f>L$7*((1+'User Inputs'!$E$12)^$B167)</f>
        <v>286199.02828867355</v>
      </c>
      <c r="M168" s="14">
        <f>M$7*((1+'User Inputs'!$E$12)^$B167)</f>
        <v>607036.27138374595</v>
      </c>
      <c r="N168" s="248"/>
      <c r="O168" s="4" t="s">
        <v>42</v>
      </c>
      <c r="P168" s="33">
        <v>26</v>
      </c>
      <c r="Q168" s="14">
        <f>Q$7*((1+'User Inputs'!$E$12)^$B167)</f>
        <v>321662.903173103</v>
      </c>
      <c r="R168" s="14">
        <f>R$7*((1+'User Inputs'!$E$12)^$B167)</f>
        <v>300883.28898300766</v>
      </c>
      <c r="S168" s="14">
        <f>S$7*((1+'User Inputs'!$E$12)^$B167)</f>
        <v>609252.76356402284</v>
      </c>
      <c r="T168" s="14">
        <f>T$7*((1+'User Inputs'!$E$12)^$B167)</f>
        <v>986056.43421108532</v>
      </c>
    </row>
    <row r="169" spans="1:20" x14ac:dyDescent="0.25">
      <c r="A169" s="4" t="s">
        <v>42</v>
      </c>
      <c r="B169" s="33">
        <v>27</v>
      </c>
      <c r="C169" s="14">
        <f>C$7*((1+'User Inputs'!$E$12)^$B168)</f>
        <v>229750.40319768174</v>
      </c>
      <c r="D169" s="14">
        <f>D$7*((1+'User Inputs'!$E$12)^$B168)</f>
        <v>243993.58194814072</v>
      </c>
      <c r="E169" s="14">
        <f>E$7*((1+'User Inputs'!$E$12)^$B168)</f>
        <v>456680.41384487523</v>
      </c>
      <c r="F169" s="14">
        <f>F$7*((1+'User Inputs'!$E$12)^$B168)</f>
        <v>812477.2798533641</v>
      </c>
      <c r="G169" s="104"/>
      <c r="H169" s="4" t="s">
        <v>42</v>
      </c>
      <c r="I169" s="33">
        <v>27</v>
      </c>
      <c r="J169" s="14">
        <f>J$7*((1+'User Inputs'!$E$12)^$B168)</f>
        <v>131404.64515879843</v>
      </c>
      <c r="K169" s="14">
        <f>K$7*((1+'User Inputs'!$E$12)^$B168)</f>
        <v>181086.20913361362</v>
      </c>
      <c r="L169" s="14">
        <f>L$7*((1+'User Inputs'!$E$12)^$B168)</f>
        <v>291923.00885444705</v>
      </c>
      <c r="M169" s="14">
        <f>M$7*((1+'User Inputs'!$E$12)^$B168)</f>
        <v>619176.99681142101</v>
      </c>
      <c r="N169" s="248"/>
      <c r="O169" s="4" t="s">
        <v>42</v>
      </c>
      <c r="P169" s="33">
        <v>27</v>
      </c>
      <c r="Q169" s="14">
        <f>Q$7*((1+'User Inputs'!$E$12)^$B168)</f>
        <v>328096.16123656509</v>
      </c>
      <c r="R169" s="14">
        <f>R$7*((1+'User Inputs'!$E$12)^$B168)</f>
        <v>306900.95476266782</v>
      </c>
      <c r="S169" s="14">
        <f>S$7*((1+'User Inputs'!$E$12)^$B168)</f>
        <v>621437.8188353033</v>
      </c>
      <c r="T169" s="14">
        <f>T$7*((1+'User Inputs'!$E$12)^$B168)</f>
        <v>1005777.5628953072</v>
      </c>
    </row>
    <row r="170" spans="1:20" x14ac:dyDescent="0.25">
      <c r="A170" s="4" t="s">
        <v>42</v>
      </c>
      <c r="B170" s="33">
        <v>28</v>
      </c>
      <c r="C170" s="14">
        <f>C$7*((1+'User Inputs'!$E$12)^$B169)</f>
        <v>234345.41126163534</v>
      </c>
      <c r="D170" s="14">
        <f>D$7*((1+'User Inputs'!$E$12)^$B169)</f>
        <v>248873.45358710349</v>
      </c>
      <c r="E170" s="14">
        <f>E$7*((1+'User Inputs'!$E$12)^$B169)</f>
        <v>465814.02212177269</v>
      </c>
      <c r="F170" s="14">
        <f>F$7*((1+'User Inputs'!$E$12)^$B169)</f>
        <v>828726.82545043121</v>
      </c>
      <c r="G170" s="104"/>
      <c r="H170" s="4" t="s">
        <v>42</v>
      </c>
      <c r="I170" s="33">
        <v>28</v>
      </c>
      <c r="J170" s="14">
        <f>J$7*((1+'User Inputs'!$E$12)^$B169)</f>
        <v>134032.73806197438</v>
      </c>
      <c r="K170" s="14">
        <f>K$7*((1+'User Inputs'!$E$12)^$B169)</f>
        <v>184707.93331628587</v>
      </c>
      <c r="L170" s="14">
        <f>L$7*((1+'User Inputs'!$E$12)^$B169)</f>
        <v>297761.46903153596</v>
      </c>
      <c r="M170" s="14">
        <f>M$7*((1+'User Inputs'!$E$12)^$B169)</f>
        <v>631560.53674764931</v>
      </c>
      <c r="N170" s="248"/>
      <c r="O170" s="4" t="s">
        <v>42</v>
      </c>
      <c r="P170" s="33">
        <v>28</v>
      </c>
      <c r="Q170" s="14">
        <f>Q$7*((1+'User Inputs'!$E$12)^$B169)</f>
        <v>334658.08446129633</v>
      </c>
      <c r="R170" s="14">
        <f>R$7*((1+'User Inputs'!$E$12)^$B169)</f>
        <v>313038.97385792114</v>
      </c>
      <c r="S170" s="14">
        <f>S$7*((1+'User Inputs'!$E$12)^$B169)</f>
        <v>633866.57521200925</v>
      </c>
      <c r="T170" s="14">
        <f>T$7*((1+'User Inputs'!$E$12)^$B169)</f>
        <v>1025893.1141532131</v>
      </c>
    </row>
    <row r="171" spans="1:20" x14ac:dyDescent="0.25">
      <c r="A171" s="4" t="s">
        <v>42</v>
      </c>
      <c r="B171" s="33">
        <v>29</v>
      </c>
      <c r="C171" s="14">
        <f>C$7*((1+'User Inputs'!$E$12)^$B170)</f>
        <v>239032.3194868681</v>
      </c>
      <c r="D171" s="14">
        <f>D$7*((1+'User Inputs'!$E$12)^$B170)</f>
        <v>253850.92265884561</v>
      </c>
      <c r="E171" s="14">
        <f>E$7*((1+'User Inputs'!$E$12)^$B170)</f>
        <v>475130.30256420822</v>
      </c>
      <c r="F171" s="14">
        <f>F$7*((1+'User Inputs'!$E$12)^$B170)</f>
        <v>845301.36195944005</v>
      </c>
      <c r="G171" s="104"/>
      <c r="H171" s="4" t="s">
        <v>42</v>
      </c>
      <c r="I171" s="33">
        <v>29</v>
      </c>
      <c r="J171" s="14">
        <f>J$7*((1+'User Inputs'!$E$12)^$B170)</f>
        <v>136713.39282321389</v>
      </c>
      <c r="K171" s="14">
        <f>K$7*((1+'User Inputs'!$E$12)^$B170)</f>
        <v>188402.09198261163</v>
      </c>
      <c r="L171" s="14">
        <f>L$7*((1+'User Inputs'!$E$12)^$B170)</f>
        <v>303716.69841216673</v>
      </c>
      <c r="M171" s="14">
        <f>M$7*((1+'User Inputs'!$E$12)^$B170)</f>
        <v>644191.74748260237</v>
      </c>
      <c r="N171" s="248"/>
      <c r="O171" s="4" t="s">
        <v>42</v>
      </c>
      <c r="P171" s="33">
        <v>29</v>
      </c>
      <c r="Q171" s="14">
        <f>Q$7*((1+'User Inputs'!$E$12)^$B170)</f>
        <v>341351.24615052232</v>
      </c>
      <c r="R171" s="14">
        <f>R$7*((1+'User Inputs'!$E$12)^$B170)</f>
        <v>319299.75333507964</v>
      </c>
      <c r="S171" s="14">
        <f>S$7*((1+'User Inputs'!$E$12)^$B170)</f>
        <v>646543.90671624965</v>
      </c>
      <c r="T171" s="14">
        <f>T$7*((1+'User Inputs'!$E$12)^$B170)</f>
        <v>1046410.9764362776</v>
      </c>
    </row>
    <row r="172" spans="1:20" x14ac:dyDescent="0.25">
      <c r="A172" s="4" t="s">
        <v>42</v>
      </c>
      <c r="B172" s="33">
        <v>30</v>
      </c>
      <c r="C172" s="14">
        <f>C$7*((1+'User Inputs'!$E$12)^$B171)</f>
        <v>243812.96587660542</v>
      </c>
      <c r="D172" s="14">
        <f>D$7*((1+'User Inputs'!$E$12)^$B171)</f>
        <v>258927.9411120225</v>
      </c>
      <c r="E172" s="14">
        <f>E$7*((1+'User Inputs'!$E$12)^$B171)</f>
        <v>484632.90861549234</v>
      </c>
      <c r="F172" s="14">
        <f>F$7*((1+'User Inputs'!$E$12)^$B171)</f>
        <v>862207.38919862872</v>
      </c>
      <c r="G172" s="104"/>
      <c r="H172" s="4" t="s">
        <v>42</v>
      </c>
      <c r="I172" s="33">
        <v>30</v>
      </c>
      <c r="J172" s="14">
        <f>J$7*((1+'User Inputs'!$E$12)^$B171)</f>
        <v>139447.66067967814</v>
      </c>
      <c r="K172" s="14">
        <f>K$7*((1+'User Inputs'!$E$12)^$B171)</f>
        <v>192170.13382226383</v>
      </c>
      <c r="L172" s="14">
        <f>L$7*((1+'User Inputs'!$E$12)^$B171)</f>
        <v>309791.03238041</v>
      </c>
      <c r="M172" s="14">
        <f>M$7*((1+'User Inputs'!$E$12)^$B171)</f>
        <v>657075.58243225433</v>
      </c>
      <c r="N172" s="248"/>
      <c r="O172" s="4" t="s">
        <v>42</v>
      </c>
      <c r="P172" s="33">
        <v>30</v>
      </c>
      <c r="Q172" s="14">
        <f>Q$7*((1+'User Inputs'!$E$12)^$B171)</f>
        <v>348178.2710735327</v>
      </c>
      <c r="R172" s="14">
        <f>R$7*((1+'User Inputs'!$E$12)^$B171)</f>
        <v>325685.74840178119</v>
      </c>
      <c r="S172" s="14">
        <f>S$7*((1+'User Inputs'!$E$12)^$B171)</f>
        <v>659474.78485057445</v>
      </c>
      <c r="T172" s="14">
        <f>T$7*((1+'User Inputs'!$E$12)^$B171)</f>
        <v>1067339.195965003</v>
      </c>
    </row>
    <row r="173" spans="1:20" x14ac:dyDescent="0.25">
      <c r="A173" s="4" t="s">
        <v>42</v>
      </c>
      <c r="B173" s="33">
        <v>31</v>
      </c>
      <c r="C173" s="14">
        <f>C$7*((1+'User Inputs'!$E$12)^$B172)</f>
        <v>248689.22519413754</v>
      </c>
      <c r="D173" s="14">
        <f>D$7*((1+'User Inputs'!$E$12)^$B172)</f>
        <v>264106.49993426295</v>
      </c>
      <c r="E173" s="14">
        <f>E$7*((1+'User Inputs'!$E$12)^$B172)</f>
        <v>494325.56678780221</v>
      </c>
      <c r="F173" s="14">
        <f>F$7*((1+'User Inputs'!$E$12)^$B172)</f>
        <v>879451.53698260128</v>
      </c>
      <c r="G173" s="104"/>
      <c r="H173" s="4" t="s">
        <v>42</v>
      </c>
      <c r="I173" s="33">
        <v>31</v>
      </c>
      <c r="J173" s="14">
        <f>J$7*((1+'User Inputs'!$E$12)^$B172)</f>
        <v>142236.61389327171</v>
      </c>
      <c r="K173" s="14">
        <f>K$7*((1+'User Inputs'!$E$12)^$B172)</f>
        <v>196013.53649870912</v>
      </c>
      <c r="L173" s="14">
        <f>L$7*((1+'User Inputs'!$E$12)^$B172)</f>
        <v>315986.85302801826</v>
      </c>
      <c r="M173" s="14">
        <f>M$7*((1+'User Inputs'!$E$12)^$B172)</f>
        <v>670217.09408089949</v>
      </c>
      <c r="N173" s="248"/>
      <c r="O173" s="4" t="s">
        <v>42</v>
      </c>
      <c r="P173" s="33">
        <v>31</v>
      </c>
      <c r="Q173" s="14">
        <f>Q$7*((1+'User Inputs'!$E$12)^$B172)</f>
        <v>355141.83649500343</v>
      </c>
      <c r="R173" s="14">
        <f>R$7*((1+'User Inputs'!$E$12)^$B172)</f>
        <v>332199.46336981683</v>
      </c>
      <c r="S173" s="14">
        <f>S$7*((1+'User Inputs'!$E$12)^$B172)</f>
        <v>672664.28054758604</v>
      </c>
      <c r="T173" s="14">
        <f>T$7*((1+'User Inputs'!$E$12)^$B172)</f>
        <v>1088685.9798843032</v>
      </c>
    </row>
    <row r="174" spans="1:20" x14ac:dyDescent="0.25">
      <c r="A174" s="4" t="s">
        <v>42</v>
      </c>
      <c r="B174" s="33">
        <v>32</v>
      </c>
      <c r="C174" s="14">
        <f>C$7*((1+'User Inputs'!$E$12)^$B173)</f>
        <v>253663.00969802024</v>
      </c>
      <c r="D174" s="14">
        <f>D$7*((1+'User Inputs'!$E$12)^$B173)</f>
        <v>269388.62993294816</v>
      </c>
      <c r="E174" s="14">
        <f>E$7*((1+'User Inputs'!$E$12)^$B173)</f>
        <v>504212.07812355814</v>
      </c>
      <c r="F174" s="14">
        <f>F$7*((1+'User Inputs'!$E$12)^$B173)</f>
        <v>897040.56772225315</v>
      </c>
      <c r="G174" s="104"/>
      <c r="H174" s="4" t="s">
        <v>42</v>
      </c>
      <c r="I174" s="33">
        <v>32</v>
      </c>
      <c r="J174" s="14">
        <f>J$7*((1+'User Inputs'!$E$12)^$B173)</f>
        <v>145081.34617113712</v>
      </c>
      <c r="K174" s="14">
        <f>K$7*((1+'User Inputs'!$E$12)^$B173)</f>
        <v>199933.80722868326</v>
      </c>
      <c r="L174" s="14">
        <f>L$7*((1+'User Inputs'!$E$12)^$B173)</f>
        <v>322306.59008857852</v>
      </c>
      <c r="M174" s="14">
        <f>M$7*((1+'User Inputs'!$E$12)^$B173)</f>
        <v>683621.43596251728</v>
      </c>
      <c r="N174" s="248"/>
      <c r="O174" s="4" t="s">
        <v>42</v>
      </c>
      <c r="P174" s="33">
        <v>32</v>
      </c>
      <c r="Q174" s="14">
        <f>Q$7*((1+'User Inputs'!$E$12)^$B173)</f>
        <v>362244.67322490341</v>
      </c>
      <c r="R174" s="14">
        <f>R$7*((1+'User Inputs'!$E$12)^$B173)</f>
        <v>338843.45263721311</v>
      </c>
      <c r="S174" s="14">
        <f>S$7*((1+'User Inputs'!$E$12)^$B173)</f>
        <v>686117.56615853764</v>
      </c>
      <c r="T174" s="14">
        <f>T$7*((1+'User Inputs'!$E$12)^$B173)</f>
        <v>1110459.699481989</v>
      </c>
    </row>
    <row r="175" spans="1:20" x14ac:dyDescent="0.25">
      <c r="A175" s="4" t="s">
        <v>42</v>
      </c>
      <c r="B175" s="33">
        <v>33</v>
      </c>
      <c r="C175" s="14">
        <f>C$7*((1+'User Inputs'!$E$12)^$B174)</f>
        <v>258736.26989198069</v>
      </c>
      <c r="D175" s="14">
        <f>D$7*((1+'User Inputs'!$E$12)^$B174)</f>
        <v>274776.40253160719</v>
      </c>
      <c r="E175" s="14">
        <f>E$7*((1+'User Inputs'!$E$12)^$B174)</f>
        <v>514296.3196860294</v>
      </c>
      <c r="F175" s="14">
        <f>F$7*((1+'User Inputs'!$E$12)^$B174)</f>
        <v>914981.37907669845</v>
      </c>
      <c r="G175" s="104"/>
      <c r="H175" s="4" t="s">
        <v>42</v>
      </c>
      <c r="I175" s="33">
        <v>33</v>
      </c>
      <c r="J175" s="14">
        <f>J$7*((1+'User Inputs'!$E$12)^$B174)</f>
        <v>147982.97309455989</v>
      </c>
      <c r="K175" s="14">
        <f>K$7*((1+'User Inputs'!$E$12)^$B174)</f>
        <v>203932.48337325695</v>
      </c>
      <c r="L175" s="14">
        <f>L$7*((1+'User Inputs'!$E$12)^$B174)</f>
        <v>328752.72189035016</v>
      </c>
      <c r="M175" s="14">
        <f>M$7*((1+'User Inputs'!$E$12)^$B174)</f>
        <v>697293.86468176777</v>
      </c>
      <c r="N175" s="248"/>
      <c r="O175" s="4" t="s">
        <v>42</v>
      </c>
      <c r="P175" s="33">
        <v>33</v>
      </c>
      <c r="Q175" s="14">
        <f>Q$7*((1+'User Inputs'!$E$12)^$B174)</f>
        <v>369489.56668940152</v>
      </c>
      <c r="R175" s="14">
        <f>R$7*((1+'User Inputs'!$E$12)^$B174)</f>
        <v>345620.3216899574</v>
      </c>
      <c r="S175" s="14">
        <f>S$7*((1+'User Inputs'!$E$12)^$B174)</f>
        <v>699839.91748170846</v>
      </c>
      <c r="T175" s="14">
        <f>T$7*((1+'User Inputs'!$E$12)^$B174)</f>
        <v>1132668.8934716289</v>
      </c>
    </row>
    <row r="176" spans="1:20" x14ac:dyDescent="0.25">
      <c r="A176" s="4" t="s">
        <v>42</v>
      </c>
      <c r="B176" s="33">
        <v>34</v>
      </c>
      <c r="C176" s="14">
        <f>C$7*((1+'User Inputs'!$E$12)^$B175)</f>
        <v>263910.9952898203</v>
      </c>
      <c r="D176" s="14">
        <f>D$7*((1+'User Inputs'!$E$12)^$B175)</f>
        <v>280271.93058223935</v>
      </c>
      <c r="E176" s="14">
        <f>E$7*((1+'User Inputs'!$E$12)^$B175)</f>
        <v>524582.24607975001</v>
      </c>
      <c r="F176" s="14">
        <f>F$7*((1+'User Inputs'!$E$12)^$B175)</f>
        <v>933281.00665823242</v>
      </c>
      <c r="G176" s="104"/>
      <c r="H176" s="4" t="s">
        <v>42</v>
      </c>
      <c r="I176" s="33">
        <v>34</v>
      </c>
      <c r="J176" s="14">
        <f>J$7*((1+'User Inputs'!$E$12)^$B175)</f>
        <v>150942.63255645111</v>
      </c>
      <c r="K176" s="14">
        <f>K$7*((1+'User Inputs'!$E$12)^$B175)</f>
        <v>208011.13304072211</v>
      </c>
      <c r="L176" s="14">
        <f>L$7*((1+'User Inputs'!$E$12)^$B175)</f>
        <v>335327.77632815723</v>
      </c>
      <c r="M176" s="14">
        <f>M$7*((1+'User Inputs'!$E$12)^$B175)</f>
        <v>711239.74197540327</v>
      </c>
      <c r="N176" s="248"/>
      <c r="O176" s="4" t="s">
        <v>42</v>
      </c>
      <c r="P176" s="33">
        <v>34</v>
      </c>
      <c r="Q176" s="14">
        <f>Q$7*((1+'User Inputs'!$E$12)^$B175)</f>
        <v>376879.35802318959</v>
      </c>
      <c r="R176" s="14">
        <f>R$7*((1+'User Inputs'!$E$12)^$B175)</f>
        <v>352532.72812375659</v>
      </c>
      <c r="S176" s="14">
        <f>S$7*((1+'User Inputs'!$E$12)^$B175)</f>
        <v>713836.71583134274</v>
      </c>
      <c r="T176" s="14">
        <f>T$7*((1+'User Inputs'!$E$12)^$B175)</f>
        <v>1155322.2713410617</v>
      </c>
    </row>
    <row r="177" spans="1:20" x14ac:dyDescent="0.25">
      <c r="A177" s="4" t="s">
        <v>42</v>
      </c>
      <c r="B177" s="33">
        <v>35</v>
      </c>
      <c r="C177" s="14">
        <f>C$7*((1+'User Inputs'!$E$12)^$B176)</f>
        <v>269189.21519561671</v>
      </c>
      <c r="D177" s="14">
        <f>D$7*((1+'User Inputs'!$E$12)^$B176)</f>
        <v>285877.36919388408</v>
      </c>
      <c r="E177" s="14">
        <f>E$7*((1+'User Inputs'!$E$12)^$B176)</f>
        <v>535073.89100134501</v>
      </c>
      <c r="F177" s="14">
        <f>F$7*((1+'User Inputs'!$E$12)^$B176)</f>
        <v>951946.62679139699</v>
      </c>
      <c r="G177" s="104"/>
      <c r="H177" s="4" t="s">
        <v>42</v>
      </c>
      <c r="I177" s="33">
        <v>35</v>
      </c>
      <c r="J177" s="14">
        <f>J$7*((1+'User Inputs'!$E$12)^$B176)</f>
        <v>153961.48520758012</v>
      </c>
      <c r="K177" s="14">
        <f>K$7*((1+'User Inputs'!$E$12)^$B176)</f>
        <v>212171.35570153655</v>
      </c>
      <c r="L177" s="14">
        <f>L$7*((1+'User Inputs'!$E$12)^$B176)</f>
        <v>342034.33185472031</v>
      </c>
      <c r="M177" s="14">
        <f>M$7*((1+'User Inputs'!$E$12)^$B176)</f>
        <v>725464.53681491117</v>
      </c>
      <c r="N177" s="248"/>
      <c r="O177" s="4" t="s">
        <v>42</v>
      </c>
      <c r="P177" s="33">
        <v>35</v>
      </c>
      <c r="Q177" s="14">
        <f>Q$7*((1+'User Inputs'!$E$12)^$B176)</f>
        <v>384416.94518365333</v>
      </c>
      <c r="R177" s="14">
        <f>R$7*((1+'User Inputs'!$E$12)^$B176)</f>
        <v>359583.38268623169</v>
      </c>
      <c r="S177" s="14">
        <f>S$7*((1+'User Inputs'!$E$12)^$B176)</f>
        <v>728113.45014796953</v>
      </c>
      <c r="T177" s="14">
        <f>T$7*((1+'User Inputs'!$E$12)^$B176)</f>
        <v>1178428.7167678827</v>
      </c>
    </row>
    <row r="178" spans="1:20" x14ac:dyDescent="0.25">
      <c r="A178" s="4" t="s">
        <v>42</v>
      </c>
      <c r="B178" s="33">
        <v>36</v>
      </c>
      <c r="C178" s="14">
        <f>C$7*((1+'User Inputs'!$E$12)^$B177)</f>
        <v>274572.99949952902</v>
      </c>
      <c r="D178" s="14">
        <f>D$7*((1+'User Inputs'!$E$12)^$B177)</f>
        <v>291594.91657776176</v>
      </c>
      <c r="E178" s="14">
        <f>E$7*((1+'User Inputs'!$E$12)^$B177)</f>
        <v>545775.36882137181</v>
      </c>
      <c r="F178" s="14">
        <f>F$7*((1+'User Inputs'!$E$12)^$B177)</f>
        <v>970985.55932722497</v>
      </c>
      <c r="G178" s="104"/>
      <c r="H178" s="4" t="s">
        <v>42</v>
      </c>
      <c r="I178" s="33">
        <v>36</v>
      </c>
      <c r="J178" s="14">
        <f>J$7*((1+'User Inputs'!$E$12)^$B177)</f>
        <v>157040.71491173172</v>
      </c>
      <c r="K178" s="14">
        <f>K$7*((1+'User Inputs'!$E$12)^$B177)</f>
        <v>216414.78281556728</v>
      </c>
      <c r="L178" s="14">
        <f>L$7*((1+'User Inputs'!$E$12)^$B177)</f>
        <v>348875.01849181473</v>
      </c>
      <c r="M178" s="14">
        <f>M$7*((1+'User Inputs'!$E$12)^$B177)</f>
        <v>739973.82755120937</v>
      </c>
      <c r="N178" s="248"/>
      <c r="O178" s="4" t="s">
        <v>42</v>
      </c>
      <c r="P178" s="33">
        <v>36</v>
      </c>
      <c r="Q178" s="14">
        <f>Q$7*((1+'User Inputs'!$E$12)^$B177)</f>
        <v>392105.28408732644</v>
      </c>
      <c r="R178" s="14">
        <f>R$7*((1+'User Inputs'!$E$12)^$B177)</f>
        <v>366775.0503399563</v>
      </c>
      <c r="S178" s="14">
        <f>S$7*((1+'User Inputs'!$E$12)^$B177)</f>
        <v>742675.7191509289</v>
      </c>
      <c r="T178" s="14">
        <f>T$7*((1+'User Inputs'!$E$12)^$B177)</f>
        <v>1201997.2911032403</v>
      </c>
    </row>
    <row r="179" spans="1:20" x14ac:dyDescent="0.25">
      <c r="A179" s="4" t="s">
        <v>42</v>
      </c>
      <c r="B179" s="33">
        <v>37</v>
      </c>
      <c r="C179" s="14">
        <f>C$7*((1+'User Inputs'!$E$12)^$B178)</f>
        <v>280064.45948951959</v>
      </c>
      <c r="D179" s="14">
        <f>D$7*((1+'User Inputs'!$E$12)^$B178)</f>
        <v>297426.81490931701</v>
      </c>
      <c r="E179" s="14">
        <f>E$7*((1+'User Inputs'!$E$12)^$B178)</f>
        <v>556690.87619779923</v>
      </c>
      <c r="F179" s="14">
        <f>F$7*((1+'User Inputs'!$E$12)^$B178)</f>
        <v>990405.27051376936</v>
      </c>
      <c r="G179" s="104"/>
      <c r="H179" s="4" t="s">
        <v>42</v>
      </c>
      <c r="I179" s="33">
        <v>37</v>
      </c>
      <c r="J179" s="14">
        <f>J$7*((1+'User Inputs'!$E$12)^$B178)</f>
        <v>160181.52920996633</v>
      </c>
      <c r="K179" s="14">
        <f>K$7*((1+'User Inputs'!$E$12)^$B178)</f>
        <v>220743.0784718786</v>
      </c>
      <c r="L179" s="14">
        <f>L$7*((1+'User Inputs'!$E$12)^$B178)</f>
        <v>355852.51886165101</v>
      </c>
      <c r="M179" s="14">
        <f>M$7*((1+'User Inputs'!$E$12)^$B178)</f>
        <v>754773.30410223361</v>
      </c>
      <c r="N179" s="248"/>
      <c r="O179" s="4" t="s">
        <v>42</v>
      </c>
      <c r="P179" s="33">
        <v>37</v>
      </c>
      <c r="Q179" s="14">
        <f>Q$7*((1+'User Inputs'!$E$12)^$B178)</f>
        <v>399947.38976907294</v>
      </c>
      <c r="R179" s="14">
        <f>R$7*((1+'User Inputs'!$E$12)^$B178)</f>
        <v>374110.55134675541</v>
      </c>
      <c r="S179" s="14">
        <f>S$7*((1+'User Inputs'!$E$12)^$B178)</f>
        <v>757529.23353394738</v>
      </c>
      <c r="T179" s="14">
        <f>T$7*((1+'User Inputs'!$E$12)^$B178)</f>
        <v>1226037.2369253051</v>
      </c>
    </row>
    <row r="180" spans="1:20" x14ac:dyDescent="0.25">
      <c r="A180" s="4" t="s">
        <v>42</v>
      </c>
      <c r="B180" s="33">
        <v>38</v>
      </c>
      <c r="C180" s="14">
        <f>C$7*((1+'User Inputs'!$E$12)^$B179)</f>
        <v>285665.74867931003</v>
      </c>
      <c r="D180" s="14">
        <f>D$7*((1+'User Inputs'!$E$12)^$B179)</f>
        <v>303375.35120750341</v>
      </c>
      <c r="E180" s="14">
        <f>E$7*((1+'User Inputs'!$E$12)^$B179)</f>
        <v>567824.69372175529</v>
      </c>
      <c r="F180" s="14">
        <f>F$7*((1+'User Inputs'!$E$12)^$B179)</f>
        <v>1010213.3759240449</v>
      </c>
      <c r="G180" s="104"/>
      <c r="H180" s="4" t="s">
        <v>42</v>
      </c>
      <c r="I180" s="33">
        <v>38</v>
      </c>
      <c r="J180" s="14">
        <f>J$7*((1+'User Inputs'!$E$12)^$B179)</f>
        <v>163385.15979416569</v>
      </c>
      <c r="K180" s="14">
        <f>K$7*((1+'User Inputs'!$E$12)^$B179)</f>
        <v>225157.94004131621</v>
      </c>
      <c r="L180" s="14">
        <f>L$7*((1+'User Inputs'!$E$12)^$B179)</f>
        <v>362969.56923888408</v>
      </c>
      <c r="M180" s="14">
        <f>M$7*((1+'User Inputs'!$E$12)^$B179)</f>
        <v>769868.77018427837</v>
      </c>
      <c r="N180" s="248"/>
      <c r="O180" s="4" t="s">
        <v>42</v>
      </c>
      <c r="P180" s="33">
        <v>38</v>
      </c>
      <c r="Q180" s="14">
        <f>Q$7*((1+'User Inputs'!$E$12)^$B179)</f>
        <v>407946.33756445441</v>
      </c>
      <c r="R180" s="14">
        <f>R$7*((1+'User Inputs'!$E$12)^$B179)</f>
        <v>381592.76237369061</v>
      </c>
      <c r="S180" s="14">
        <f>S$7*((1+'User Inputs'!$E$12)^$B179)</f>
        <v>772679.81820462644</v>
      </c>
      <c r="T180" s="14">
        <f>T$7*((1+'User Inputs'!$E$12)^$B179)</f>
        <v>1250557.9816638115</v>
      </c>
    </row>
    <row r="181" spans="1:20" x14ac:dyDescent="0.25">
      <c r="A181" s="4" t="s">
        <v>42</v>
      </c>
      <c r="B181" s="33">
        <v>39</v>
      </c>
      <c r="C181" s="14">
        <f>C$7*((1+'User Inputs'!$E$12)^$B180)</f>
        <v>291379.06365289626</v>
      </c>
      <c r="D181" s="14">
        <f>D$7*((1+'User Inputs'!$E$12)^$B180)</f>
        <v>309442.85823165346</v>
      </c>
      <c r="E181" s="14">
        <f>E$7*((1+'User Inputs'!$E$12)^$B180)</f>
        <v>579181.18759619049</v>
      </c>
      <c r="F181" s="14">
        <f>F$7*((1+'User Inputs'!$E$12)^$B180)</f>
        <v>1030417.6434425259</v>
      </c>
      <c r="G181" s="104"/>
      <c r="H181" s="4" t="s">
        <v>42</v>
      </c>
      <c r="I181" s="33">
        <v>39</v>
      </c>
      <c r="J181" s="14">
        <f>J$7*((1+'User Inputs'!$E$12)^$B180)</f>
        <v>166652.86299004901</v>
      </c>
      <c r="K181" s="14">
        <f>K$7*((1+'User Inputs'!$E$12)^$B180)</f>
        <v>229661.09884214256</v>
      </c>
      <c r="L181" s="14">
        <f>L$7*((1+'User Inputs'!$E$12)^$B180)</f>
        <v>370228.96062366181</v>
      </c>
      <c r="M181" s="14">
        <f>M$7*((1+'User Inputs'!$E$12)^$B180)</f>
        <v>785266.14558796398</v>
      </c>
      <c r="N181" s="248"/>
      <c r="O181" s="4" t="s">
        <v>42</v>
      </c>
      <c r="P181" s="33">
        <v>39</v>
      </c>
      <c r="Q181" s="14">
        <f>Q$7*((1+'User Inputs'!$E$12)^$B180)</f>
        <v>416105.26431574358</v>
      </c>
      <c r="R181" s="14">
        <f>R$7*((1+'User Inputs'!$E$12)^$B180)</f>
        <v>389224.61762116442</v>
      </c>
      <c r="S181" s="14">
        <f>S$7*((1+'User Inputs'!$E$12)^$B180)</f>
        <v>788133.4145687191</v>
      </c>
      <c r="T181" s="14">
        <f>T$7*((1+'User Inputs'!$E$12)^$B180)</f>
        <v>1275569.1412970878</v>
      </c>
    </row>
    <row r="182" spans="1:20" x14ac:dyDescent="0.25">
      <c r="A182" s="4" t="s">
        <v>42</v>
      </c>
      <c r="B182" s="33">
        <v>40</v>
      </c>
      <c r="C182" s="14">
        <f>C$7*((1+'User Inputs'!$E$12)^$B181)</f>
        <v>297206.64492595411</v>
      </c>
      <c r="D182" s="14">
        <f>D$7*((1+'User Inputs'!$E$12)^$B181)</f>
        <v>315631.71539628645</v>
      </c>
      <c r="E182" s="14">
        <f>E$7*((1+'User Inputs'!$E$12)^$B181)</f>
        <v>590764.81134811405</v>
      </c>
      <c r="F182" s="14">
        <f>F$7*((1+'User Inputs'!$E$12)^$B181)</f>
        <v>1051025.9963113761</v>
      </c>
      <c r="G182" s="104"/>
      <c r="H182" s="4" t="s">
        <v>42</v>
      </c>
      <c r="I182" s="33">
        <v>40</v>
      </c>
      <c r="J182" s="14">
        <f>J$7*((1+'User Inputs'!$E$12)^$B181)</f>
        <v>169985.92024984994</v>
      </c>
      <c r="K182" s="14">
        <f>K$7*((1+'User Inputs'!$E$12)^$B181)</f>
        <v>234254.32081898532</v>
      </c>
      <c r="L182" s="14">
        <f>L$7*((1+'User Inputs'!$E$12)^$B181)</f>
        <v>377633.53983613488</v>
      </c>
      <c r="M182" s="14">
        <f>M$7*((1+'User Inputs'!$E$12)^$B181)</f>
        <v>800971.46849972301</v>
      </c>
      <c r="N182" s="248"/>
      <c r="O182" s="4" t="s">
        <v>42</v>
      </c>
      <c r="P182" s="33">
        <v>40</v>
      </c>
      <c r="Q182" s="14">
        <f>Q$7*((1+'User Inputs'!$E$12)^$B181)</f>
        <v>424427.36960205826</v>
      </c>
      <c r="R182" s="14">
        <f>R$7*((1+'User Inputs'!$E$12)^$B181)</f>
        <v>397009.10997358756</v>
      </c>
      <c r="S182" s="14">
        <f>S$7*((1+'User Inputs'!$E$12)^$B181)</f>
        <v>803896.08286009321</v>
      </c>
      <c r="T182" s="14">
        <f>T$7*((1+'User Inputs'!$E$12)^$B181)</f>
        <v>1301080.5241230291</v>
      </c>
    </row>
    <row r="198" spans="1:12" x14ac:dyDescent="0.25">
      <c r="A198" s="30" t="s">
        <v>34</v>
      </c>
      <c r="C198" s="196">
        <f>+C4</f>
        <v>206785.23749999999</v>
      </c>
      <c r="D198" s="196">
        <f>+D4</f>
        <v>166370.64375000002</v>
      </c>
      <c r="E198" s="196">
        <f t="shared" ref="E198:F198" si="94">+E4</f>
        <v>195832.35</v>
      </c>
      <c r="F198" s="196">
        <f t="shared" si="94"/>
        <v>182655.07500000001</v>
      </c>
      <c r="G198" s="265"/>
      <c r="J198" s="41"/>
      <c r="L198" s="41"/>
    </row>
    <row r="199" spans="1:12" x14ac:dyDescent="0.25">
      <c r="A199" s="30" t="s">
        <v>2</v>
      </c>
      <c r="C199" s="196">
        <f t="shared" ref="C199:F202" si="95">+C5</f>
        <v>114044.51647542858</v>
      </c>
      <c r="D199" s="196">
        <f t="shared" si="95"/>
        <v>191085.56728258068</v>
      </c>
      <c r="E199" s="196">
        <f t="shared" si="95"/>
        <v>254576.24281347104</v>
      </c>
      <c r="F199" s="196">
        <f t="shared" si="95"/>
        <v>1078333.8579438361</v>
      </c>
      <c r="G199" s="265"/>
      <c r="J199" s="41"/>
      <c r="L199" s="41"/>
    </row>
    <row r="200" spans="1:12" x14ac:dyDescent="0.25">
      <c r="A200" s="108" t="s">
        <v>3</v>
      </c>
      <c r="C200" s="196">
        <f t="shared" si="95"/>
        <v>106446.10283742858</v>
      </c>
      <c r="D200" s="196">
        <f t="shared" si="95"/>
        <v>116723.62917042858</v>
      </c>
      <c r="E200" s="196">
        <f t="shared" si="95"/>
        <v>270193.55238471425</v>
      </c>
      <c r="F200" s="196">
        <f t="shared" si="95"/>
        <v>526928.3754968571</v>
      </c>
      <c r="G200" s="265"/>
      <c r="J200" s="41"/>
      <c r="L200" s="41"/>
    </row>
    <row r="201" spans="1:12" x14ac:dyDescent="0.25">
      <c r="A201" s="108" t="s">
        <v>38</v>
      </c>
      <c r="C201" s="196">
        <f t="shared" si="95"/>
        <v>137294.08163265305</v>
      </c>
      <c r="D201" s="196">
        <f t="shared" si="95"/>
        <v>145805.51020408163</v>
      </c>
      <c r="E201" s="196">
        <f t="shared" si="95"/>
        <v>272902.75510204083</v>
      </c>
      <c r="F201" s="196">
        <f t="shared" si="95"/>
        <v>485519.59183673467</v>
      </c>
      <c r="G201" s="265"/>
      <c r="J201" s="41"/>
      <c r="L201" s="41"/>
    </row>
    <row r="202" spans="1:12" ht="30" x14ac:dyDescent="0.25">
      <c r="A202" s="111" t="s">
        <v>191</v>
      </c>
      <c r="C202" s="196">
        <f t="shared" si="95"/>
        <v>154240</v>
      </c>
      <c r="D202" s="196">
        <f t="shared" si="95"/>
        <v>154240</v>
      </c>
      <c r="E202" s="196">
        <f t="shared" si="95"/>
        <v>154240</v>
      </c>
      <c r="F202" s="196">
        <f t="shared" si="95"/>
        <v>154240</v>
      </c>
      <c r="G202" s="265"/>
      <c r="J202" s="41"/>
      <c r="L202" s="41"/>
    </row>
    <row r="204" spans="1:12" x14ac:dyDescent="0.25">
      <c r="C204" s="197">
        <f>SUM(C198:C202)</f>
        <v>718809.93844551023</v>
      </c>
      <c r="D204" s="197">
        <f t="shared" ref="D204:F204" si="96">SUM(D198:D202)</f>
        <v>774225.35040709097</v>
      </c>
      <c r="E204" s="197">
        <f t="shared" si="96"/>
        <v>1147744.9003002262</v>
      </c>
      <c r="F204" s="197">
        <f t="shared" si="96"/>
        <v>2427676.9002774279</v>
      </c>
      <c r="G204" s="266"/>
      <c r="J204" s="41"/>
      <c r="L204" s="41"/>
    </row>
    <row r="206" spans="1:12" x14ac:dyDescent="0.25">
      <c r="A206" s="30" t="s">
        <v>34</v>
      </c>
      <c r="C206" s="41">
        <f>+C198/C$204</f>
        <v>0.28767720984380274</v>
      </c>
      <c r="D206" s="41">
        <f t="shared" ref="D206:F206" si="97">+D198/D$204</f>
        <v>0.21488658781648215</v>
      </c>
      <c r="E206" s="41">
        <f t="shared" si="97"/>
        <v>0.17062358538798503</v>
      </c>
      <c r="F206" s="41">
        <f t="shared" si="97"/>
        <v>7.5238626268234757E-2</v>
      </c>
      <c r="G206" s="267"/>
    </row>
    <row r="207" spans="1:12" x14ac:dyDescent="0.25">
      <c r="A207" s="30" t="s">
        <v>2</v>
      </c>
      <c r="C207" s="41">
        <f t="shared" ref="C207:F210" si="98">+C199/C$204</f>
        <v>0.15865740076168103</v>
      </c>
      <c r="D207" s="41">
        <f t="shared" si="98"/>
        <v>0.24680871942788632</v>
      </c>
      <c r="E207" s="41">
        <f t="shared" si="98"/>
        <v>0.22180559699884458</v>
      </c>
      <c r="F207" s="41">
        <f t="shared" si="98"/>
        <v>0.44418343224364298</v>
      </c>
      <c r="G207" s="267"/>
    </row>
    <row r="208" spans="1:12" x14ac:dyDescent="0.25">
      <c r="A208" s="108" t="s">
        <v>3</v>
      </c>
      <c r="C208" s="41">
        <f t="shared" si="98"/>
        <v>0.14808657635929137</v>
      </c>
      <c r="D208" s="41">
        <f t="shared" si="98"/>
        <v>0.15076182807635374</v>
      </c>
      <c r="E208" s="41">
        <f t="shared" si="98"/>
        <v>0.23541254882860924</v>
      </c>
      <c r="F208" s="41">
        <f t="shared" si="98"/>
        <v>0.21705045487586971</v>
      </c>
      <c r="G208" s="267"/>
    </row>
    <row r="209" spans="1:7" x14ac:dyDescent="0.25">
      <c r="A209" s="108" t="s">
        <v>38</v>
      </c>
      <c r="C209" s="41">
        <f t="shared" si="98"/>
        <v>0.19100192455541667</v>
      </c>
      <c r="D209" s="41">
        <f t="shared" si="98"/>
        <v>0.18832438143160318</v>
      </c>
      <c r="E209" s="41">
        <f t="shared" si="98"/>
        <v>0.23777300603178908</v>
      </c>
      <c r="F209" s="41">
        <f t="shared" si="98"/>
        <v>0.19999349657330878</v>
      </c>
      <c r="G209" s="267"/>
    </row>
    <row r="210" spans="1:7" ht="30" x14ac:dyDescent="0.25">
      <c r="A210" s="111" t="s">
        <v>191</v>
      </c>
      <c r="C210" s="41">
        <f t="shared" si="98"/>
        <v>0.21457688847980813</v>
      </c>
      <c r="D210" s="41">
        <f t="shared" si="98"/>
        <v>0.19921848324767455</v>
      </c>
      <c r="E210" s="41">
        <f t="shared" si="98"/>
        <v>0.13438526275277199</v>
      </c>
      <c r="F210" s="41">
        <f t="shared" si="98"/>
        <v>6.3533990038943777E-2</v>
      </c>
      <c r="G210" s="267"/>
    </row>
    <row r="211" spans="1:7" x14ac:dyDescent="0.25">
      <c r="C211" s="41"/>
      <c r="D211" s="41"/>
      <c r="E211" s="41"/>
      <c r="F211" s="41"/>
      <c r="G211" s="267"/>
    </row>
    <row r="212" spans="1:7" x14ac:dyDescent="0.25">
      <c r="A212" s="198" t="s">
        <v>52</v>
      </c>
      <c r="B212" s="198"/>
      <c r="C212" s="198">
        <v>108.78318862463823</v>
      </c>
      <c r="D212" s="198">
        <v>170.89125102207686</v>
      </c>
      <c r="E212" s="198">
        <v>179.71147943523633</v>
      </c>
      <c r="F212" s="198">
        <v>189.77072310405643</v>
      </c>
      <c r="G212" s="268"/>
    </row>
    <row r="213" spans="1:7" x14ac:dyDescent="0.25">
      <c r="C213" s="14">
        <v>122.41754939523702</v>
      </c>
      <c r="D213" s="14">
        <v>185.77872744539411</v>
      </c>
      <c r="E213" s="14">
        <v>201.24405415294549</v>
      </c>
      <c r="F213" s="14">
        <v>204.17853751187084</v>
      </c>
      <c r="G213" s="104"/>
    </row>
    <row r="214" spans="1:7" x14ac:dyDescent="0.25">
      <c r="C214" s="185">
        <v>132.06241348936706</v>
      </c>
      <c r="D214" s="185">
        <v>208.59453075315707</v>
      </c>
      <c r="E214" s="185">
        <v>222.78493963576835</v>
      </c>
      <c r="F214" s="185">
        <v>216.84303350970018</v>
      </c>
      <c r="G214" s="269"/>
    </row>
    <row r="216" spans="1:7" x14ac:dyDescent="0.25">
      <c r="C216" s="199">
        <f>C214/C213</f>
        <v>1.0787866130450843</v>
      </c>
      <c r="D216" s="199">
        <f t="shared" ref="D216:F216" si="99">D214/D213</f>
        <v>1.122811710584406</v>
      </c>
      <c r="E216" s="199">
        <f t="shared" si="99"/>
        <v>1.1070386182264633</v>
      </c>
      <c r="F216" s="199">
        <f t="shared" si="99"/>
        <v>1.0620265780730898</v>
      </c>
      <c r="G216" s="270"/>
    </row>
  </sheetData>
  <sheetProtection password="EF95" sheet="1" objects="1" scenarios="1"/>
  <pageMargins left="0.25" right="0.25" top="0.75" bottom="0.75" header="0.3" footer="0.3"/>
  <pageSetup orientation="landscape" r:id="rId1"/>
  <headerFooter>
    <oddHeader xml:space="preserve">&amp;COperating Costs
</oddHeader>
    <oddFooter>&amp;C&amp;D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66"/>
  <sheetViews>
    <sheetView view="pageLayout" zoomScaleNormal="100" workbookViewId="0"/>
  </sheetViews>
  <sheetFormatPr defaultRowHeight="15" x14ac:dyDescent="0.25"/>
  <cols>
    <col min="1" max="1" width="18" customWidth="1"/>
    <col min="2" max="2" width="3" customWidth="1"/>
    <col min="3" max="6" width="16.7109375" customWidth="1"/>
    <col min="7" max="9" width="13.7109375" bestFit="1" customWidth="1"/>
    <col min="10" max="10" width="17.28515625" customWidth="1"/>
    <col min="11" max="11" width="3.28515625" customWidth="1"/>
    <col min="12" max="12" width="13.42578125" customWidth="1"/>
    <col min="13" max="13" width="13.28515625" customWidth="1"/>
    <col min="14" max="14" width="13.5703125" customWidth="1"/>
    <col min="15" max="15" width="13.85546875" customWidth="1"/>
    <col min="16" max="16" width="13.140625" bestFit="1" customWidth="1"/>
    <col min="17" max="17" width="12.5703125" bestFit="1" customWidth="1"/>
    <col min="18" max="18" width="14.28515625" bestFit="1" customWidth="1"/>
    <col min="19" max="19" width="12.7109375" customWidth="1"/>
    <col min="20" max="20" width="17.140625" customWidth="1"/>
    <col min="21" max="21" width="3.140625" customWidth="1"/>
    <col min="22" max="25" width="13.7109375" bestFit="1" customWidth="1"/>
    <col min="26" max="29" width="13.140625" bestFit="1" customWidth="1"/>
  </cols>
  <sheetData>
    <row r="2" spans="1:29" ht="24.75" x14ac:dyDescent="0.25">
      <c r="A2" s="115" t="s">
        <v>92</v>
      </c>
      <c r="B2" s="2"/>
      <c r="C2" s="201" t="str">
        <f>'RORO Oper Maint'!C2</f>
        <v>RORO &lt;100 Pax, &lt;10 Veh</v>
      </c>
      <c r="D2" s="201" t="str">
        <f>'RORO Oper Maint'!D2</f>
        <v>RORO &lt;500 Pax, &lt;10 Veh</v>
      </c>
      <c r="E2" s="201" t="str">
        <f>'RORO Oper Maint'!E2</f>
        <v>RORO &lt;500 Pax, &lt;50 Veh</v>
      </c>
      <c r="F2" s="201" t="str">
        <f>'RORO Oper Maint'!F2</f>
        <v>RORO 250-500 Pax, 45-100 Veh</v>
      </c>
      <c r="G2" s="45"/>
      <c r="H2" s="45"/>
      <c r="I2" s="45"/>
      <c r="J2" s="115" t="s">
        <v>90</v>
      </c>
      <c r="K2" s="2"/>
      <c r="L2" s="201" t="str">
        <f>C2</f>
        <v>RORO &lt;100 Pax, &lt;10 Veh</v>
      </c>
      <c r="M2" s="201" t="str">
        <f>D2</f>
        <v>RORO &lt;500 Pax, &lt;10 Veh</v>
      </c>
      <c r="N2" s="201" t="str">
        <f>E2</f>
        <v>RORO &lt;500 Pax, &lt;50 Veh</v>
      </c>
      <c r="O2" s="201" t="str">
        <f>F2</f>
        <v>RORO 250-500 Pax, 45-100 Veh</v>
      </c>
      <c r="P2" s="45"/>
      <c r="Q2" s="45"/>
      <c r="R2" s="45"/>
      <c r="S2" s="45"/>
      <c r="T2" s="115" t="s">
        <v>91</v>
      </c>
      <c r="U2" s="2"/>
      <c r="V2" s="201" t="str">
        <f>C2</f>
        <v>RORO &lt;100 Pax, &lt;10 Veh</v>
      </c>
      <c r="W2" s="201" t="str">
        <f>D2</f>
        <v>RORO &lt;500 Pax, &lt;10 Veh</v>
      </c>
      <c r="X2" s="201" t="str">
        <f>E2</f>
        <v>RORO &lt;500 Pax, &lt;50 Veh</v>
      </c>
      <c r="Y2" s="201" t="str">
        <f>F2</f>
        <v>RORO 250-500 Pax, 45-100 Veh</v>
      </c>
      <c r="Z2" s="45"/>
      <c r="AA2" s="45"/>
      <c r="AB2" s="45"/>
      <c r="AC2" s="45"/>
    </row>
    <row r="3" spans="1:29" x14ac:dyDescent="0.25">
      <c r="A3" s="38" t="s">
        <v>44</v>
      </c>
      <c r="B3" s="34"/>
      <c r="C3" s="31"/>
      <c r="D3" s="31"/>
      <c r="E3" s="35"/>
      <c r="F3" s="35"/>
      <c r="G3" s="35"/>
      <c r="H3" s="35"/>
      <c r="I3" s="36"/>
      <c r="J3" s="38" t="s">
        <v>44</v>
      </c>
      <c r="K3" s="34"/>
      <c r="L3" s="31"/>
      <c r="M3" s="31"/>
      <c r="N3" s="35"/>
      <c r="O3" s="35"/>
      <c r="P3" s="35"/>
      <c r="Q3" s="35"/>
      <c r="R3" s="35"/>
      <c r="S3" s="36"/>
      <c r="T3" s="38" t="s">
        <v>44</v>
      </c>
      <c r="U3" s="34"/>
      <c r="V3" s="31"/>
      <c r="W3" s="31"/>
      <c r="X3" s="35"/>
      <c r="Y3" s="35"/>
      <c r="Z3" s="35"/>
      <c r="AA3" s="35"/>
      <c r="AB3" s="35"/>
      <c r="AC3" s="36"/>
    </row>
    <row r="4" spans="1:29" s="9" customFormat="1" x14ac:dyDescent="0.25">
      <c r="A4" s="4" t="s">
        <v>42</v>
      </c>
      <c r="B4" s="33">
        <v>0</v>
      </c>
      <c r="C4" s="14">
        <f>'RORO Capital'!C16+'RORO Oper Maint'!C14</f>
        <v>881540.81632653065</v>
      </c>
      <c r="D4" s="14">
        <f>'RORO Capital'!D16+'RORO Oper Maint'!D14</f>
        <v>966655.10204081633</v>
      </c>
      <c r="E4" s="14">
        <f>'RORO Capital'!E16+'RORO Oper Maint'!E14</f>
        <v>2237627.5510204085</v>
      </c>
      <c r="F4" s="14">
        <f>'RORO Capital'!F16+'RORO Oper Maint'!F14</f>
        <v>4363795.9183673477</v>
      </c>
      <c r="G4" s="35"/>
      <c r="H4" s="35"/>
      <c r="I4" s="35"/>
      <c r="J4" s="4" t="s">
        <v>42</v>
      </c>
      <c r="K4" s="33">
        <v>0</v>
      </c>
      <c r="L4" s="14">
        <f>'RORO Capital'!J16+'RORO Oper Maint'!J14</f>
        <v>293846.93877551024</v>
      </c>
      <c r="M4" s="14">
        <f>'RORO Capital'!K16+'RORO Oper Maint'!K14</f>
        <v>590733.67346938781</v>
      </c>
      <c r="N4" s="14">
        <f>'RORO Capital'!L16+'RORO Oper Maint'!L14</f>
        <v>1253071.4285714286</v>
      </c>
      <c r="O4" s="14">
        <f>'RORO Capital'!M16+'RORO Oper Maint'!M14</f>
        <v>3208673.4693877553</v>
      </c>
      <c r="P4" s="35"/>
      <c r="Q4" s="35"/>
      <c r="R4" s="35"/>
      <c r="S4" s="35"/>
      <c r="T4" s="4" t="s">
        <v>42</v>
      </c>
      <c r="U4" s="33">
        <v>0</v>
      </c>
      <c r="V4" s="14">
        <f>'RORO Capital'!P16+'RORO Oper Maint'!Q14</f>
        <v>1469234.693877551</v>
      </c>
      <c r="W4" s="14">
        <f>'RORO Capital'!Q16+'RORO Oper Maint'!R14</f>
        <v>1342576.5306122452</v>
      </c>
      <c r="X4" s="14">
        <f>'RORO Capital'!R16+'RORO Oper Maint'!S14</f>
        <v>3222183.6734693879</v>
      </c>
      <c r="Y4" s="14">
        <f>'RORO Capital'!S16+'RORO Oper Maint'!T14</f>
        <v>5518918.3673469387</v>
      </c>
      <c r="Z4" s="35"/>
      <c r="AA4" s="35"/>
      <c r="AB4" s="35"/>
      <c r="AC4" s="35"/>
    </row>
    <row r="5" spans="1:29" s="9" customFormat="1" x14ac:dyDescent="0.25">
      <c r="A5" s="4" t="s">
        <v>42</v>
      </c>
      <c r="B5" s="33">
        <v>1</v>
      </c>
      <c r="C5" s="14">
        <f>'RORO Capital'!C17+'RORO Oper Maint'!C15</f>
        <v>1023960.9102345965</v>
      </c>
      <c r="D5" s="14">
        <f>'RORO Capital'!D17+'RORO Oper Maint'!D15</f>
        <v>1108230.5987814278</v>
      </c>
      <c r="E5" s="14">
        <f>'RORO Capital'!E17+'RORO Oper Maint'!E15</f>
        <v>1919301.3845025643</v>
      </c>
      <c r="F5" s="14">
        <f>'RORO Capital'!F17+'RORO Oper Maint'!F15</f>
        <v>3930462.8503847206</v>
      </c>
      <c r="G5" s="35"/>
      <c r="H5" s="35"/>
      <c r="I5" s="35"/>
      <c r="J5" s="4" t="s">
        <v>42</v>
      </c>
      <c r="K5" s="33">
        <v>1</v>
      </c>
      <c r="L5" s="14">
        <f>'RORO Capital'!J17+'RORO Oper Maint'!J15</f>
        <v>659860.6797921895</v>
      </c>
      <c r="M5" s="14">
        <f>'RORO Capital'!K17+'RORO Oper Maint'!K15</f>
        <v>841956.14103292266</v>
      </c>
      <c r="N5" s="14">
        <f>'RORO Capital'!L17+'RORO Oper Maint'!L15</f>
        <v>1261725.42373267</v>
      </c>
      <c r="O5" s="14">
        <f>'RORO Capital'!M17+'RORO Oper Maint'!M15</f>
        <v>3263231.362963438</v>
      </c>
      <c r="P5" s="35"/>
      <c r="Q5" s="35"/>
      <c r="R5" s="35"/>
      <c r="S5" s="35"/>
      <c r="T5" s="4" t="s">
        <v>42</v>
      </c>
      <c r="U5" s="33">
        <v>1</v>
      </c>
      <c r="V5" s="14">
        <f>'RORO Capital'!P17+'RORO Oper Maint'!Q15</f>
        <v>1388061.1406770034</v>
      </c>
      <c r="W5" s="14">
        <f>'RORO Capital'!Q17+'RORO Oper Maint'!R15</f>
        <v>1375505.0565299331</v>
      </c>
      <c r="X5" s="14">
        <f>'RORO Capital'!R17+'RORO Oper Maint'!S15</f>
        <v>2575877.3452724591</v>
      </c>
      <c r="Y5" s="14">
        <f>'RORO Capital'!S17+'RORO Oper Maint'!T15</f>
        <v>4596694.3378060032</v>
      </c>
      <c r="Z5" s="35"/>
      <c r="AA5" s="35"/>
      <c r="AB5" s="35"/>
      <c r="AC5" s="35"/>
    </row>
    <row r="6" spans="1:29" x14ac:dyDescent="0.25">
      <c r="A6" s="4" t="s">
        <v>42</v>
      </c>
      <c r="B6" s="33">
        <v>2</v>
      </c>
      <c r="C6" s="14">
        <f>'RORO Capital'!C18+'RORO Oper Maint'!C16</f>
        <v>1048960.9102345966</v>
      </c>
      <c r="D6" s="14">
        <f>'RORO Capital'!D18+'RORO Oper Maint'!D16</f>
        <v>1141230.5987814278</v>
      </c>
      <c r="E6" s="14">
        <f>'RORO Capital'!E18+'RORO Oper Maint'!E16</f>
        <v>1968301.3845025643</v>
      </c>
      <c r="F6" s="14">
        <f>'RORO Capital'!F18+'RORO Oper Maint'!F16</f>
        <v>4075462.8503847206</v>
      </c>
      <c r="G6" s="35"/>
      <c r="H6" s="35"/>
      <c r="I6" s="35"/>
      <c r="J6" s="4" t="s">
        <v>42</v>
      </c>
      <c r="K6" s="33">
        <v>2</v>
      </c>
      <c r="L6" s="14">
        <f>'RORO Capital'!J18+'RORO Oper Maint'!J16</f>
        <v>677860.6797921895</v>
      </c>
      <c r="M6" s="14">
        <f>'RORO Capital'!K18+'RORO Oper Maint'!K16</f>
        <v>866956.14103292266</v>
      </c>
      <c r="N6" s="14">
        <f>'RORO Capital'!L18+'RORO Oper Maint'!L16</f>
        <v>1293725.42373267</v>
      </c>
      <c r="O6" s="14">
        <f>'RORO Capital'!M18+'RORO Oper Maint'!M16</f>
        <v>3399231.362963438</v>
      </c>
      <c r="P6" s="35"/>
      <c r="Q6" s="35"/>
      <c r="R6" s="35"/>
      <c r="S6" s="35"/>
      <c r="T6" s="4" t="s">
        <v>42</v>
      </c>
      <c r="U6" s="33">
        <v>2</v>
      </c>
      <c r="V6" s="14">
        <f>'RORO Capital'!P18+'RORO Oper Maint'!Q16</f>
        <v>1421061.1406770034</v>
      </c>
      <c r="W6" s="14">
        <f>'RORO Capital'!Q18+'RORO Oper Maint'!R16</f>
        <v>1416505.0565299331</v>
      </c>
      <c r="X6" s="14">
        <f>'RORO Capital'!R18+'RORO Oper Maint'!S16</f>
        <v>2641877.3452724591</v>
      </c>
      <c r="Y6" s="14">
        <f>'RORO Capital'!S18+'RORO Oper Maint'!T16</f>
        <v>4751694.3378060032</v>
      </c>
      <c r="Z6" s="35"/>
      <c r="AA6" s="35"/>
      <c r="AB6" s="35"/>
      <c r="AC6" s="35"/>
    </row>
    <row r="7" spans="1:29" x14ac:dyDescent="0.25">
      <c r="A7" s="4" t="s">
        <v>42</v>
      </c>
      <c r="B7" s="33">
        <v>3</v>
      </c>
      <c r="C7" s="14">
        <f>'RORO Capital'!C19+'RORO Oper Maint'!C17</f>
        <v>1076960.9102345966</v>
      </c>
      <c r="D7" s="14">
        <f>'RORO Capital'!D19+'RORO Oper Maint'!D17</f>
        <v>1177230.5987814278</v>
      </c>
      <c r="E7" s="14">
        <f>'RORO Capital'!E19+'RORO Oper Maint'!E17</f>
        <v>2020301.3845025643</v>
      </c>
      <c r="F7" s="14">
        <f>'RORO Capital'!F19+'RORO Oper Maint'!F17</f>
        <v>4233462.8503847206</v>
      </c>
      <c r="G7" s="35"/>
      <c r="H7" s="35"/>
      <c r="I7" s="35"/>
      <c r="J7" s="4" t="s">
        <v>42</v>
      </c>
      <c r="K7" s="33">
        <v>3</v>
      </c>
      <c r="L7" s="14">
        <f>'RORO Capital'!J19+'RORO Oper Maint'!J17</f>
        <v>697860.6797921895</v>
      </c>
      <c r="M7" s="14">
        <f>'RORO Capital'!K19+'RORO Oper Maint'!K17</f>
        <v>893956.14103292266</v>
      </c>
      <c r="N7" s="14">
        <f>'RORO Capital'!L19+'RORO Oper Maint'!L17</f>
        <v>1327725.42373267</v>
      </c>
      <c r="O7" s="14">
        <f>'RORO Capital'!M19+'RORO Oper Maint'!M17</f>
        <v>3547231.362963438</v>
      </c>
      <c r="P7" s="35"/>
      <c r="Q7" s="35"/>
      <c r="R7" s="35"/>
      <c r="S7" s="35"/>
      <c r="T7" s="4" t="s">
        <v>42</v>
      </c>
      <c r="U7" s="33">
        <v>3</v>
      </c>
      <c r="V7" s="14">
        <f>'RORO Capital'!P19+'RORO Oper Maint'!Q17</f>
        <v>1455061.1406770034</v>
      </c>
      <c r="W7" s="14">
        <f>'RORO Capital'!Q19+'RORO Oper Maint'!R17</f>
        <v>1460505.0565299331</v>
      </c>
      <c r="X7" s="14">
        <f>'RORO Capital'!R19+'RORO Oper Maint'!S17</f>
        <v>2711877.3452724591</v>
      </c>
      <c r="Y7" s="14">
        <f>'RORO Capital'!S19+'RORO Oper Maint'!T17</f>
        <v>4918694.3378060032</v>
      </c>
      <c r="Z7" s="35"/>
      <c r="AA7" s="35"/>
      <c r="AB7" s="35"/>
      <c r="AC7" s="35"/>
    </row>
    <row r="8" spans="1:29" x14ac:dyDescent="0.25">
      <c r="A8" s="4" t="s">
        <v>42</v>
      </c>
      <c r="B8" s="33">
        <v>4</v>
      </c>
      <c r="C8" s="14">
        <f>'RORO Capital'!C20+'RORO Oper Maint'!C18</f>
        <v>1104960.9102345966</v>
      </c>
      <c r="D8" s="14">
        <f>'RORO Capital'!D20+'RORO Oper Maint'!D18</f>
        <v>1215230.5987814278</v>
      </c>
      <c r="E8" s="14">
        <f>'RORO Capital'!E20+'RORO Oper Maint'!E18</f>
        <v>2075301.3845025643</v>
      </c>
      <c r="F8" s="14">
        <f>'RORO Capital'!F20+'RORO Oper Maint'!F18</f>
        <v>4403462.8503847206</v>
      </c>
      <c r="G8" s="35"/>
      <c r="H8" s="35"/>
      <c r="I8" s="35"/>
      <c r="J8" s="4" t="s">
        <v>42</v>
      </c>
      <c r="K8" s="33">
        <v>4</v>
      </c>
      <c r="L8" s="14">
        <f>'RORO Capital'!J20+'RORO Oper Maint'!J18</f>
        <v>717860.6797921895</v>
      </c>
      <c r="M8" s="14">
        <f>'RORO Capital'!K20+'RORO Oper Maint'!K18</f>
        <v>921956.14103292266</v>
      </c>
      <c r="N8" s="14">
        <f>'RORO Capital'!L20+'RORO Oper Maint'!L18</f>
        <v>1363725.42373267</v>
      </c>
      <c r="O8" s="14">
        <f>'RORO Capital'!M20+'RORO Oper Maint'!M18</f>
        <v>3707231.362963438</v>
      </c>
      <c r="P8" s="35"/>
      <c r="Q8" s="35"/>
      <c r="R8" s="35"/>
      <c r="S8" s="35"/>
      <c r="T8" s="4" t="s">
        <v>42</v>
      </c>
      <c r="U8" s="33">
        <v>4</v>
      </c>
      <c r="V8" s="14">
        <f>'RORO Capital'!P20+'RORO Oper Maint'!Q18</f>
        <v>1492061.1406770034</v>
      </c>
      <c r="W8" s="14">
        <f>'RORO Capital'!Q20+'RORO Oper Maint'!R18</f>
        <v>1507505.0565299331</v>
      </c>
      <c r="X8" s="14">
        <f>'RORO Capital'!R20+'RORO Oper Maint'!S18</f>
        <v>2785877.3452724591</v>
      </c>
      <c r="Y8" s="14">
        <f>'RORO Capital'!S20+'RORO Oper Maint'!T18</f>
        <v>5098694.3378060032</v>
      </c>
      <c r="Z8" s="35"/>
      <c r="AA8" s="35"/>
      <c r="AB8" s="35"/>
      <c r="AC8" s="35"/>
    </row>
    <row r="9" spans="1:29" x14ac:dyDescent="0.25">
      <c r="A9" s="4" t="s">
        <v>42</v>
      </c>
      <c r="B9" s="33">
        <v>5</v>
      </c>
      <c r="C9" s="14">
        <f>'RORO Capital'!C21+'RORO Oper Maint'!C19</f>
        <v>1135960.9102345966</v>
      </c>
      <c r="D9" s="14">
        <f>'RORO Capital'!D21+'RORO Oper Maint'!D19</f>
        <v>1255230.5987814278</v>
      </c>
      <c r="E9" s="14">
        <f>'RORO Capital'!E21+'RORO Oper Maint'!E19</f>
        <v>2134301.3845025646</v>
      </c>
      <c r="F9" s="14">
        <f>'RORO Capital'!F21+'RORO Oper Maint'!F19</f>
        <v>4587462.8503847206</v>
      </c>
      <c r="G9" s="35"/>
      <c r="H9" s="35"/>
      <c r="I9" s="35"/>
      <c r="J9" s="4" t="s">
        <v>42</v>
      </c>
      <c r="K9" s="33">
        <v>5</v>
      </c>
      <c r="L9" s="14">
        <f>'RORO Capital'!J21+'RORO Oper Maint'!J19</f>
        <v>739860.6797921895</v>
      </c>
      <c r="M9" s="14">
        <f>'RORO Capital'!K21+'RORO Oper Maint'!K19</f>
        <v>952956.14103292266</v>
      </c>
      <c r="N9" s="14">
        <f>'RORO Capital'!L21+'RORO Oper Maint'!L19</f>
        <v>1402725.42373267</v>
      </c>
      <c r="O9" s="14">
        <f>'RORO Capital'!M21+'RORO Oper Maint'!M19</f>
        <v>3881231.362963438</v>
      </c>
      <c r="P9" s="35"/>
      <c r="Q9" s="35"/>
      <c r="R9" s="35"/>
      <c r="S9" s="35"/>
      <c r="T9" s="4" t="s">
        <v>42</v>
      </c>
      <c r="U9" s="33">
        <v>5</v>
      </c>
      <c r="V9" s="14">
        <f>'RORO Capital'!P21+'RORO Oper Maint'!Q19</f>
        <v>1531061.1406770034</v>
      </c>
      <c r="W9" s="14">
        <f>'RORO Capital'!Q21+'RORO Oper Maint'!R19</f>
        <v>1557505.0565299331</v>
      </c>
      <c r="X9" s="14">
        <f>'RORO Capital'!R21+'RORO Oper Maint'!S19</f>
        <v>2865877.3452724591</v>
      </c>
      <c r="Y9" s="14">
        <f>'RORO Capital'!S21+'RORO Oper Maint'!T19</f>
        <v>5293694.3378060032</v>
      </c>
      <c r="Z9" s="35"/>
      <c r="AA9" s="35"/>
      <c r="AB9" s="35"/>
      <c r="AC9" s="35"/>
    </row>
    <row r="10" spans="1:29" x14ac:dyDescent="0.25">
      <c r="A10" s="4" t="s">
        <v>42</v>
      </c>
      <c r="B10" s="33">
        <v>6</v>
      </c>
      <c r="C10" s="14">
        <f>'RORO Capital'!C22+'RORO Oper Maint'!C20</f>
        <v>1167960.9102345966</v>
      </c>
      <c r="D10" s="14">
        <f>'RORO Capital'!D22+'RORO Oper Maint'!D20</f>
        <v>1298230.5987814278</v>
      </c>
      <c r="E10" s="14">
        <f>'RORO Capital'!E22+'RORO Oper Maint'!E20</f>
        <v>2197301.3845025646</v>
      </c>
      <c r="F10" s="14">
        <f>'RORO Capital'!F22+'RORO Oper Maint'!F20</f>
        <v>4787462.8503847206</v>
      </c>
      <c r="G10" s="35"/>
      <c r="H10" s="35"/>
      <c r="I10" s="35"/>
      <c r="J10" s="4" t="s">
        <v>42</v>
      </c>
      <c r="K10" s="33">
        <v>6</v>
      </c>
      <c r="L10" s="14">
        <f>'RORO Capital'!J22+'RORO Oper Maint'!J20</f>
        <v>762860.6797921895</v>
      </c>
      <c r="M10" s="14">
        <f>'RORO Capital'!K22+'RORO Oper Maint'!K20</f>
        <v>984956.14103292266</v>
      </c>
      <c r="N10" s="14">
        <f>'RORO Capital'!L22+'RORO Oper Maint'!L20</f>
        <v>1442725.42373267</v>
      </c>
      <c r="O10" s="14">
        <f>'RORO Capital'!M22+'RORO Oper Maint'!M20</f>
        <v>4070231.362963438</v>
      </c>
      <c r="P10" s="35"/>
      <c r="Q10" s="35"/>
      <c r="R10" s="35"/>
      <c r="S10" s="35"/>
      <c r="T10" s="4" t="s">
        <v>42</v>
      </c>
      <c r="U10" s="33">
        <v>6</v>
      </c>
      <c r="V10" s="14">
        <f>'RORO Capital'!P22+'RORO Oper Maint'!Q20</f>
        <v>1573061.1406770034</v>
      </c>
      <c r="W10" s="14">
        <f>'RORO Capital'!Q22+'RORO Oper Maint'!R20</f>
        <v>1612505.0565299331</v>
      </c>
      <c r="X10" s="14">
        <f>'RORO Capital'!R22+'RORO Oper Maint'!S20</f>
        <v>2951877.3452724591</v>
      </c>
      <c r="Y10" s="14">
        <f>'RORO Capital'!S22+'RORO Oper Maint'!T20</f>
        <v>5504694.3378060032</v>
      </c>
      <c r="Z10" s="35"/>
      <c r="AA10" s="35"/>
      <c r="AB10" s="35"/>
      <c r="AC10" s="35"/>
    </row>
    <row r="11" spans="1:29" x14ac:dyDescent="0.25">
      <c r="A11" s="4" t="s">
        <v>42</v>
      </c>
      <c r="B11" s="33">
        <v>7</v>
      </c>
      <c r="C11" s="14">
        <f>'RORO Capital'!C23+'RORO Oper Maint'!C21</f>
        <v>1201960.9102345966</v>
      </c>
      <c r="D11" s="14">
        <f>'RORO Capital'!D23+'RORO Oper Maint'!D21</f>
        <v>1345230.5987814278</v>
      </c>
      <c r="E11" s="14">
        <f>'RORO Capital'!E23+'RORO Oper Maint'!E21</f>
        <v>2264301.3845025646</v>
      </c>
      <c r="F11" s="14">
        <f>'RORO Capital'!F23+'RORO Oper Maint'!F21</f>
        <v>5003462.8503847206</v>
      </c>
      <c r="G11" s="35"/>
      <c r="H11" s="35"/>
      <c r="I11" s="35"/>
      <c r="J11" s="4" t="s">
        <v>42</v>
      </c>
      <c r="K11" s="33">
        <v>7</v>
      </c>
      <c r="L11" s="14">
        <f>'RORO Capital'!J23+'RORO Oper Maint'!J21</f>
        <v>787860.6797921895</v>
      </c>
      <c r="M11" s="14">
        <f>'RORO Capital'!K23+'RORO Oper Maint'!K21</f>
        <v>1019956.1410329227</v>
      </c>
      <c r="N11" s="14">
        <f>'RORO Capital'!L23+'RORO Oper Maint'!L21</f>
        <v>1486725.42373267</v>
      </c>
      <c r="O11" s="14">
        <f>'RORO Capital'!M23+'RORO Oper Maint'!M21</f>
        <v>4275231.362963438</v>
      </c>
      <c r="P11" s="35"/>
      <c r="Q11" s="35"/>
      <c r="R11" s="35"/>
      <c r="S11" s="35"/>
      <c r="T11" s="4" t="s">
        <v>42</v>
      </c>
      <c r="U11" s="33">
        <v>7</v>
      </c>
      <c r="V11" s="14">
        <f>'RORO Capital'!P23+'RORO Oper Maint'!Q21</f>
        <v>1617061.1406770034</v>
      </c>
      <c r="W11" s="14">
        <f>'RORO Capital'!Q23+'RORO Oper Maint'!R21</f>
        <v>1670505.0565299331</v>
      </c>
      <c r="X11" s="14">
        <f>'RORO Capital'!R23+'RORO Oper Maint'!S21</f>
        <v>3042877.3452724591</v>
      </c>
      <c r="Y11" s="14">
        <f>'RORO Capital'!S23+'RORO Oper Maint'!T21</f>
        <v>5732694.3378060032</v>
      </c>
      <c r="Z11" s="35"/>
      <c r="AA11" s="35"/>
      <c r="AB11" s="35"/>
      <c r="AC11" s="35"/>
    </row>
    <row r="12" spans="1:29" x14ac:dyDescent="0.25">
      <c r="A12" s="4" t="s">
        <v>42</v>
      </c>
      <c r="B12" s="33">
        <v>8</v>
      </c>
      <c r="C12" s="14">
        <f>'RORO Capital'!C24+'RORO Oper Maint'!C22</f>
        <v>1238960.9102345966</v>
      </c>
      <c r="D12" s="14">
        <f>'RORO Capital'!D24+'RORO Oper Maint'!D22</f>
        <v>1395230.5987814278</v>
      </c>
      <c r="E12" s="14">
        <f>'RORO Capital'!E24+'RORO Oper Maint'!E22</f>
        <v>2337301.3845025646</v>
      </c>
      <c r="F12" s="14">
        <f>'RORO Capital'!F24+'RORO Oper Maint'!F22</f>
        <v>5238462.8503847206</v>
      </c>
      <c r="G12" s="35"/>
      <c r="H12" s="35"/>
      <c r="I12" s="35"/>
      <c r="J12" s="4" t="s">
        <v>42</v>
      </c>
      <c r="K12" s="33">
        <v>8</v>
      </c>
      <c r="L12" s="14">
        <f>'RORO Capital'!J24+'RORO Oper Maint'!J22</f>
        <v>813860.6797921895</v>
      </c>
      <c r="M12" s="14">
        <f>'RORO Capital'!K24+'RORO Oper Maint'!K22</f>
        <v>1056956.1410329225</v>
      </c>
      <c r="N12" s="14">
        <f>'RORO Capital'!L24+'RORO Oper Maint'!L22</f>
        <v>1532725.42373267</v>
      </c>
      <c r="O12" s="14">
        <f>'RORO Capital'!M24+'RORO Oper Maint'!M22</f>
        <v>4498231.362963438</v>
      </c>
      <c r="P12" s="35"/>
      <c r="Q12" s="35"/>
      <c r="R12" s="35"/>
      <c r="S12" s="35"/>
      <c r="T12" s="4" t="s">
        <v>42</v>
      </c>
      <c r="U12" s="33">
        <v>8</v>
      </c>
      <c r="V12" s="14">
        <f>'RORO Capital'!P24+'RORO Oper Maint'!Q22</f>
        <v>1664061.1406770034</v>
      </c>
      <c r="W12" s="14">
        <f>'RORO Capital'!Q24+'RORO Oper Maint'!R22</f>
        <v>1733505.0565299331</v>
      </c>
      <c r="X12" s="14">
        <f>'RORO Capital'!R24+'RORO Oper Maint'!S22</f>
        <v>3140877.3452724591</v>
      </c>
      <c r="Y12" s="14">
        <f>'RORO Capital'!S24+'RORO Oper Maint'!T22</f>
        <v>5978694.3378060032</v>
      </c>
      <c r="Z12" s="35"/>
      <c r="AA12" s="35"/>
      <c r="AB12" s="35"/>
      <c r="AC12" s="35"/>
    </row>
    <row r="13" spans="1:29" x14ac:dyDescent="0.25">
      <c r="A13" s="4" t="s">
        <v>42</v>
      </c>
      <c r="B13" s="33">
        <v>9</v>
      </c>
      <c r="C13" s="14">
        <f>'RORO Capital'!C25+'RORO Oper Maint'!C23</f>
        <v>1277960.9102345966</v>
      </c>
      <c r="D13" s="14">
        <f>'RORO Capital'!D25+'RORO Oper Maint'!D23</f>
        <v>1449230.5987814278</v>
      </c>
      <c r="E13" s="14">
        <f>'RORO Capital'!E25+'RORO Oper Maint'!E23</f>
        <v>2414301.3845025646</v>
      </c>
      <c r="F13" s="14">
        <f>'RORO Capital'!F25+'RORO Oper Maint'!F23</f>
        <v>5493462.8503847206</v>
      </c>
      <c r="G13" s="35"/>
      <c r="H13" s="35"/>
      <c r="I13" s="35"/>
      <c r="J13" s="4" t="s">
        <v>42</v>
      </c>
      <c r="K13" s="33">
        <v>9</v>
      </c>
      <c r="L13" s="14">
        <f>'RORO Capital'!J25+'RORO Oper Maint'!J23</f>
        <v>841860.6797921895</v>
      </c>
      <c r="M13" s="14">
        <f>'RORO Capital'!K25+'RORO Oper Maint'!K23</f>
        <v>1096956.1410329225</v>
      </c>
      <c r="N13" s="14">
        <f>'RORO Capital'!L25+'RORO Oper Maint'!L23</f>
        <v>1581725.42373267</v>
      </c>
      <c r="O13" s="14">
        <f>'RORO Capital'!M25+'RORO Oper Maint'!M23</f>
        <v>4741231.362963438</v>
      </c>
      <c r="P13" s="35"/>
      <c r="Q13" s="35"/>
      <c r="R13" s="35"/>
      <c r="S13" s="35"/>
      <c r="T13" s="4" t="s">
        <v>42</v>
      </c>
      <c r="U13" s="33">
        <v>9</v>
      </c>
      <c r="V13" s="14">
        <f>'RORO Capital'!P25+'RORO Oper Maint'!Q23</f>
        <v>1714061.1406770034</v>
      </c>
      <c r="W13" s="14">
        <f>'RORO Capital'!Q25+'RORO Oper Maint'!R23</f>
        <v>1800505.0565299331</v>
      </c>
      <c r="X13" s="14">
        <f>'RORO Capital'!R25+'RORO Oper Maint'!S23</f>
        <v>3245877.3452724591</v>
      </c>
      <c r="Y13" s="14">
        <f>'RORO Capital'!S25+'RORO Oper Maint'!T23</f>
        <v>6246694.3378060032</v>
      </c>
      <c r="Z13" s="35"/>
      <c r="AA13" s="35"/>
      <c r="AB13" s="35"/>
      <c r="AC13" s="35"/>
    </row>
    <row r="14" spans="1:29" x14ac:dyDescent="0.25">
      <c r="A14" s="4" t="s">
        <v>42</v>
      </c>
      <c r="B14" s="33">
        <v>10</v>
      </c>
      <c r="C14" s="14">
        <f>'RORO Capital'!C26+'RORO Oper Maint'!C24</f>
        <v>1319960.9102345966</v>
      </c>
      <c r="D14" s="14">
        <f>'RORO Capital'!D26+'RORO Oper Maint'!D24</f>
        <v>1507230.5987814278</v>
      </c>
      <c r="E14" s="14">
        <f>'RORO Capital'!E26+'RORO Oper Maint'!E24</f>
        <v>2497301.3845025646</v>
      </c>
      <c r="F14" s="14">
        <f>'RORO Capital'!F26+'RORO Oper Maint'!F24</f>
        <v>5771462.8503847206</v>
      </c>
      <c r="G14" s="35"/>
      <c r="H14" s="35"/>
      <c r="I14" s="35"/>
      <c r="J14" s="4" t="s">
        <v>42</v>
      </c>
      <c r="K14" s="33">
        <v>10</v>
      </c>
      <c r="L14" s="14">
        <f>'RORO Capital'!J26+'RORO Oper Maint'!J24</f>
        <v>871860.6797921895</v>
      </c>
      <c r="M14" s="14">
        <f>'RORO Capital'!K26+'RORO Oper Maint'!K24</f>
        <v>1139956.1410329225</v>
      </c>
      <c r="N14" s="14">
        <f>'RORO Capital'!L26+'RORO Oper Maint'!L24</f>
        <v>1634725.42373267</v>
      </c>
      <c r="O14" s="14">
        <f>'RORO Capital'!M26+'RORO Oper Maint'!M24</f>
        <v>5005231.362963438</v>
      </c>
      <c r="P14" s="35"/>
      <c r="Q14" s="35"/>
      <c r="R14" s="35"/>
      <c r="S14" s="35"/>
      <c r="T14" s="4" t="s">
        <v>42</v>
      </c>
      <c r="U14" s="33">
        <v>10</v>
      </c>
      <c r="V14" s="14">
        <f>'RORO Capital'!P26+'RORO Oper Maint'!Q24</f>
        <v>1767061.1406770034</v>
      </c>
      <c r="W14" s="14">
        <f>'RORO Capital'!Q26+'RORO Oper Maint'!R24</f>
        <v>1873505.0565299331</v>
      </c>
      <c r="X14" s="14">
        <f>'RORO Capital'!R26+'RORO Oper Maint'!S24</f>
        <v>3358877.3452724591</v>
      </c>
      <c r="Y14" s="14">
        <f>'RORO Capital'!S26+'RORO Oper Maint'!T24</f>
        <v>6536694.3378060032</v>
      </c>
      <c r="Z14" s="35"/>
      <c r="AA14" s="35"/>
      <c r="AB14" s="35"/>
      <c r="AC14" s="35"/>
    </row>
    <row r="15" spans="1:29" x14ac:dyDescent="0.25">
      <c r="A15" s="4" t="s">
        <v>42</v>
      </c>
      <c r="B15" s="33">
        <v>11</v>
      </c>
      <c r="C15" s="14">
        <f>'RORO Capital'!C27+'RORO Oper Maint'!C25</f>
        <v>1363960.9102345966</v>
      </c>
      <c r="D15" s="14">
        <f>'RORO Capital'!D27+'RORO Oper Maint'!D25</f>
        <v>1569230.5987814278</v>
      </c>
      <c r="E15" s="14">
        <f>'RORO Capital'!E27+'RORO Oper Maint'!E25</f>
        <v>2586301.3845025646</v>
      </c>
      <c r="F15" s="14">
        <f>'RORO Capital'!F27+'RORO Oper Maint'!F25</f>
        <v>6072462.8503847206</v>
      </c>
      <c r="G15" s="35"/>
      <c r="H15" s="35"/>
      <c r="I15" s="35"/>
      <c r="J15" s="4" t="s">
        <v>42</v>
      </c>
      <c r="K15" s="33">
        <v>11</v>
      </c>
      <c r="L15" s="14">
        <f>'RORO Capital'!J27+'RORO Oper Maint'!J25</f>
        <v>902860.6797921895</v>
      </c>
      <c r="M15" s="14">
        <f>'RORO Capital'!K27+'RORO Oper Maint'!K25</f>
        <v>1186956.1410329225</v>
      </c>
      <c r="N15" s="14">
        <f>'RORO Capital'!L27+'RORO Oper Maint'!L25</f>
        <v>1691725.42373267</v>
      </c>
      <c r="O15" s="14">
        <f>'RORO Capital'!M27+'RORO Oper Maint'!M25</f>
        <v>5293231.362963438</v>
      </c>
      <c r="P15" s="35"/>
      <c r="Q15" s="35"/>
      <c r="R15" s="35"/>
      <c r="S15" s="35"/>
      <c r="T15" s="4" t="s">
        <v>42</v>
      </c>
      <c r="U15" s="33">
        <v>11</v>
      </c>
      <c r="V15" s="14">
        <f>'RORO Capital'!P27+'RORO Oper Maint'!Q25</f>
        <v>1825061.1406770034</v>
      </c>
      <c r="W15" s="14">
        <f>'RORO Capital'!Q27+'RORO Oper Maint'!R25</f>
        <v>1951505.0565299331</v>
      </c>
      <c r="X15" s="14">
        <f>'RORO Capital'!R27+'RORO Oper Maint'!S25</f>
        <v>3480877.3452724591</v>
      </c>
      <c r="Y15" s="14">
        <f>'RORO Capital'!S27+'RORO Oper Maint'!T25</f>
        <v>6851694.3378060032</v>
      </c>
      <c r="Z15" s="35"/>
      <c r="AA15" s="35"/>
      <c r="AB15" s="35"/>
      <c r="AC15" s="35"/>
    </row>
    <row r="16" spans="1:29" x14ac:dyDescent="0.25">
      <c r="A16" s="4" t="s">
        <v>42</v>
      </c>
      <c r="B16" s="33">
        <v>12</v>
      </c>
      <c r="C16" s="14">
        <f>'RORO Capital'!C28+'RORO Oper Maint'!C26</f>
        <v>1410960.9102345966</v>
      </c>
      <c r="D16" s="14">
        <f>'RORO Capital'!D28+'RORO Oper Maint'!D26</f>
        <v>1636230.5987814278</v>
      </c>
      <c r="E16" s="14">
        <f>'RORO Capital'!E28+'RORO Oper Maint'!E26</f>
        <v>2682301.3845025646</v>
      </c>
      <c r="F16" s="14">
        <f>'RORO Capital'!F28+'RORO Oper Maint'!F26</f>
        <v>6400462.8503847206</v>
      </c>
      <c r="G16" s="35"/>
      <c r="H16" s="35"/>
      <c r="I16" s="35"/>
      <c r="J16" s="4" t="s">
        <v>42</v>
      </c>
      <c r="K16" s="33">
        <v>12</v>
      </c>
      <c r="L16" s="14">
        <f>'RORO Capital'!J28+'RORO Oper Maint'!J26</f>
        <v>936860.6797921895</v>
      </c>
      <c r="M16" s="14">
        <f>'RORO Capital'!K28+'RORO Oper Maint'!K26</f>
        <v>1236956.1410329225</v>
      </c>
      <c r="N16" s="14">
        <f>'RORO Capital'!L28+'RORO Oper Maint'!L26</f>
        <v>1752725.42373267</v>
      </c>
      <c r="O16" s="14">
        <f>'RORO Capital'!M28+'RORO Oper Maint'!M26</f>
        <v>5607231.362963438</v>
      </c>
      <c r="P16" s="35"/>
      <c r="Q16" s="35"/>
      <c r="R16" s="35"/>
      <c r="S16" s="35"/>
      <c r="T16" s="4" t="s">
        <v>42</v>
      </c>
      <c r="U16" s="33">
        <v>12</v>
      </c>
      <c r="V16" s="14">
        <f>'RORO Capital'!P28+'RORO Oper Maint'!Q26</f>
        <v>1886061.1406770034</v>
      </c>
      <c r="W16" s="14">
        <f>'RORO Capital'!Q28+'RORO Oper Maint'!R26</f>
        <v>2036505.0565299331</v>
      </c>
      <c r="X16" s="14">
        <f>'RORO Capital'!R28+'RORO Oper Maint'!S26</f>
        <v>3611877.3452724591</v>
      </c>
      <c r="Y16" s="14">
        <f>'RORO Capital'!S28+'RORO Oper Maint'!T26</f>
        <v>7194694.3378060032</v>
      </c>
      <c r="Z16" s="35"/>
      <c r="AA16" s="35"/>
      <c r="AB16" s="35"/>
      <c r="AC16" s="35"/>
    </row>
    <row r="17" spans="1:29" x14ac:dyDescent="0.25">
      <c r="A17" s="4" t="s">
        <v>42</v>
      </c>
      <c r="B17" s="33">
        <v>13</v>
      </c>
      <c r="C17" s="14">
        <f>'RORO Capital'!C29+'RORO Oper Maint'!C27</f>
        <v>1461960.9102345966</v>
      </c>
      <c r="D17" s="14">
        <f>'RORO Capital'!D29+'RORO Oper Maint'!D27</f>
        <v>1709230.5987814278</v>
      </c>
      <c r="E17" s="14">
        <f>'RORO Capital'!E29+'RORO Oper Maint'!E27</f>
        <v>2785301.3845025646</v>
      </c>
      <c r="F17" s="14">
        <f>'RORO Capital'!F29+'RORO Oper Maint'!F27</f>
        <v>6758462.8503847206</v>
      </c>
      <c r="G17" s="35"/>
      <c r="H17" s="35"/>
      <c r="I17" s="35"/>
      <c r="J17" s="4" t="s">
        <v>42</v>
      </c>
      <c r="K17" s="33">
        <v>13</v>
      </c>
      <c r="L17" s="14">
        <f>'RORO Capital'!J29+'RORO Oper Maint'!J27</f>
        <v>973860.6797921895</v>
      </c>
      <c r="M17" s="14">
        <f>'RORO Capital'!K29+'RORO Oper Maint'!K27</f>
        <v>1289956.1410329225</v>
      </c>
      <c r="N17" s="14">
        <f>'RORO Capital'!L29+'RORO Oper Maint'!L27</f>
        <v>1817725.42373267</v>
      </c>
      <c r="O17" s="14">
        <f>'RORO Capital'!M29+'RORO Oper Maint'!M27</f>
        <v>5950231.362963438</v>
      </c>
      <c r="P17" s="35"/>
      <c r="Q17" s="35"/>
      <c r="R17" s="35"/>
      <c r="S17" s="35"/>
      <c r="T17" s="4" t="s">
        <v>42</v>
      </c>
      <c r="U17" s="33">
        <v>13</v>
      </c>
      <c r="V17" s="14">
        <f>'RORO Capital'!P29+'RORO Oper Maint'!Q27</f>
        <v>1951061.1406770034</v>
      </c>
      <c r="W17" s="14">
        <f>'RORO Capital'!Q29+'RORO Oper Maint'!R27</f>
        <v>2127505.0565299331</v>
      </c>
      <c r="X17" s="14">
        <f>'RORO Capital'!R29+'RORO Oper Maint'!S27</f>
        <v>3752877.3452724591</v>
      </c>
      <c r="Y17" s="14">
        <f>'RORO Capital'!S29+'RORO Oper Maint'!T27</f>
        <v>7566694.3378060032</v>
      </c>
      <c r="Z17" s="35"/>
      <c r="AA17" s="35"/>
      <c r="AB17" s="35"/>
      <c r="AC17" s="35"/>
    </row>
    <row r="18" spans="1:29" x14ac:dyDescent="0.25">
      <c r="A18" s="4" t="s">
        <v>42</v>
      </c>
      <c r="B18" s="33">
        <v>14</v>
      </c>
      <c r="C18" s="14">
        <f>'RORO Capital'!C30+'RORO Oper Maint'!C28</f>
        <v>1516960.9102345966</v>
      </c>
      <c r="D18" s="14">
        <f>'RORO Capital'!D30+'RORO Oper Maint'!D28</f>
        <v>1787230.5987814278</v>
      </c>
      <c r="E18" s="14">
        <f>'RORO Capital'!E30+'RORO Oper Maint'!E28</f>
        <v>2896301.3845025646</v>
      </c>
      <c r="F18" s="14">
        <f>'RORO Capital'!F30+'RORO Oper Maint'!F28</f>
        <v>7147462.8503847206</v>
      </c>
      <c r="G18" s="35"/>
      <c r="H18" s="35"/>
      <c r="I18" s="35"/>
      <c r="J18" s="4" t="s">
        <v>42</v>
      </c>
      <c r="K18" s="33">
        <v>14</v>
      </c>
      <c r="L18" s="14">
        <f>'RORO Capital'!J30+'RORO Oper Maint'!J28</f>
        <v>1011860.6797921895</v>
      </c>
      <c r="M18" s="14">
        <f>'RORO Capital'!K30+'RORO Oper Maint'!K28</f>
        <v>1347956.1410329225</v>
      </c>
      <c r="N18" s="14">
        <f>'RORO Capital'!L30+'RORO Oper Maint'!L28</f>
        <v>1887725.42373267</v>
      </c>
      <c r="O18" s="14">
        <f>'RORO Capital'!M30+'RORO Oper Maint'!M28</f>
        <v>6324231.362963438</v>
      </c>
      <c r="P18" s="35"/>
      <c r="Q18" s="35"/>
      <c r="R18" s="35"/>
      <c r="S18" s="35"/>
      <c r="T18" s="4" t="s">
        <v>42</v>
      </c>
      <c r="U18" s="33">
        <v>14</v>
      </c>
      <c r="V18" s="14">
        <f>'RORO Capital'!P30+'RORO Oper Maint'!Q28</f>
        <v>2021061.1406770034</v>
      </c>
      <c r="W18" s="14">
        <f>'RORO Capital'!Q30+'RORO Oper Maint'!R28</f>
        <v>2227505.0565299331</v>
      </c>
      <c r="X18" s="14">
        <f>'RORO Capital'!R30+'RORO Oper Maint'!S28</f>
        <v>3904877.3452724591</v>
      </c>
      <c r="Y18" s="14">
        <f>'RORO Capital'!S30+'RORO Oper Maint'!T28</f>
        <v>7971694.3378060032</v>
      </c>
      <c r="Z18" s="35"/>
      <c r="AA18" s="35"/>
      <c r="AB18" s="35"/>
      <c r="AC18" s="35"/>
    </row>
    <row r="19" spans="1:29" x14ac:dyDescent="0.25">
      <c r="A19" s="4" t="s">
        <v>42</v>
      </c>
      <c r="B19" s="33">
        <v>15</v>
      </c>
      <c r="C19" s="14">
        <f>'RORO Capital'!C31+'RORO Oper Maint'!C29</f>
        <v>1574960.9102345966</v>
      </c>
      <c r="D19" s="14">
        <f>'RORO Capital'!D31+'RORO Oper Maint'!D29</f>
        <v>1872230.5987814278</v>
      </c>
      <c r="E19" s="14">
        <f>'RORO Capital'!E31+'RORO Oper Maint'!E29</f>
        <v>3016301.3845025646</v>
      </c>
      <c r="F19" s="14">
        <f>'RORO Capital'!F31+'RORO Oper Maint'!F29</f>
        <v>7572462.8503847206</v>
      </c>
      <c r="G19" s="35"/>
      <c r="H19" s="35"/>
      <c r="I19" s="35"/>
      <c r="J19" s="4" t="s">
        <v>42</v>
      </c>
      <c r="K19" s="33">
        <v>15</v>
      </c>
      <c r="L19" s="14">
        <f>'RORO Capital'!J31+'RORO Oper Maint'!J29</f>
        <v>1053860.6797921895</v>
      </c>
      <c r="M19" s="14">
        <f>'RORO Capital'!K31+'RORO Oper Maint'!K29</f>
        <v>1410956.1410329225</v>
      </c>
      <c r="N19" s="14">
        <f>'RORO Capital'!L31+'RORO Oper Maint'!L29</f>
        <v>1963725.42373267</v>
      </c>
      <c r="O19" s="14">
        <f>'RORO Capital'!M31+'RORO Oper Maint'!M29</f>
        <v>6732231.362963438</v>
      </c>
      <c r="P19" s="35"/>
      <c r="Q19" s="35"/>
      <c r="R19" s="35"/>
      <c r="S19" s="35"/>
      <c r="T19" s="4" t="s">
        <v>42</v>
      </c>
      <c r="U19" s="33">
        <v>15</v>
      </c>
      <c r="V19" s="14">
        <f>'RORO Capital'!P31+'RORO Oper Maint'!Q29</f>
        <v>2097061.1406770034</v>
      </c>
      <c r="W19" s="14">
        <f>'RORO Capital'!Q31+'RORO Oper Maint'!R29</f>
        <v>2334505.0565299331</v>
      </c>
      <c r="X19" s="14">
        <f>'RORO Capital'!R31+'RORO Oper Maint'!S29</f>
        <v>4068877.3452724591</v>
      </c>
      <c r="Y19" s="14">
        <f>'RORO Capital'!S31+'RORO Oper Maint'!T29</f>
        <v>8412694.3378060032</v>
      </c>
      <c r="Z19" s="35"/>
      <c r="AA19" s="35"/>
      <c r="AB19" s="35"/>
      <c r="AC19" s="35"/>
    </row>
    <row r="20" spans="1:29" x14ac:dyDescent="0.25">
      <c r="A20" s="4" t="s">
        <v>42</v>
      </c>
      <c r="B20" s="33">
        <v>16</v>
      </c>
      <c r="C20" s="14">
        <f>'RORO Capital'!C32+'RORO Oper Maint'!C30</f>
        <v>1637960.9102345966</v>
      </c>
      <c r="D20" s="14">
        <f>'RORO Capital'!D32+'RORO Oper Maint'!D30</f>
        <v>1964230.5987814278</v>
      </c>
      <c r="E20" s="14">
        <f>'RORO Capital'!E32+'RORO Oper Maint'!E30</f>
        <v>3146301.3845025646</v>
      </c>
      <c r="F20" s="14">
        <f>'RORO Capital'!F32+'RORO Oper Maint'!F30</f>
        <v>8035462.8503847206</v>
      </c>
      <c r="G20" s="35"/>
      <c r="H20" s="35"/>
      <c r="I20" s="35"/>
      <c r="J20" s="4" t="s">
        <v>42</v>
      </c>
      <c r="K20" s="33">
        <v>16</v>
      </c>
      <c r="L20" s="14">
        <f>'RORO Capital'!J32+'RORO Oper Maint'!J30</f>
        <v>1098860.6797921895</v>
      </c>
      <c r="M20" s="14">
        <f>'RORO Capital'!K32+'RORO Oper Maint'!K30</f>
        <v>1477956.1410329225</v>
      </c>
      <c r="N20" s="14">
        <f>'RORO Capital'!L32+'RORO Oper Maint'!L30</f>
        <v>2044725.42373267</v>
      </c>
      <c r="O20" s="14">
        <f>'RORO Capital'!M32+'RORO Oper Maint'!M30</f>
        <v>7179231.362963438</v>
      </c>
      <c r="P20" s="35"/>
      <c r="Q20" s="35"/>
      <c r="R20" s="35"/>
      <c r="S20" s="35"/>
      <c r="T20" s="4" t="s">
        <v>42</v>
      </c>
      <c r="U20" s="33">
        <v>16</v>
      </c>
      <c r="V20" s="14">
        <f>'RORO Capital'!P32+'RORO Oper Maint'!Q30</f>
        <v>2178061.1406770032</v>
      </c>
      <c r="W20" s="14">
        <f>'RORO Capital'!Q32+'RORO Oper Maint'!R30</f>
        <v>2450505.0565299331</v>
      </c>
      <c r="X20" s="14">
        <f>'RORO Capital'!R32+'RORO Oper Maint'!S30</f>
        <v>4246877.3452724591</v>
      </c>
      <c r="Y20" s="14">
        <f>'RORO Capital'!S32+'RORO Oper Maint'!T30</f>
        <v>8892694.3378060032</v>
      </c>
      <c r="Z20" s="300"/>
      <c r="AA20" s="300"/>
      <c r="AB20" s="300"/>
      <c r="AC20" s="300"/>
    </row>
    <row r="21" spans="1:29" x14ac:dyDescent="0.25">
      <c r="A21" s="4" t="s">
        <v>42</v>
      </c>
      <c r="B21" s="33">
        <v>17</v>
      </c>
      <c r="C21" s="14">
        <f>'RORO Capital'!C33+'RORO Oper Maint'!C31</f>
        <v>1705960.9102345966</v>
      </c>
      <c r="D21" s="14">
        <f>'RORO Capital'!D33+'RORO Oper Maint'!D31</f>
        <v>2064230.5987814278</v>
      </c>
      <c r="E21" s="14">
        <f>'RORO Capital'!E33+'RORO Oper Maint'!E31</f>
        <v>3286301.3845025646</v>
      </c>
      <c r="F21" s="14">
        <f>'RORO Capital'!F33+'RORO Oper Maint'!F31</f>
        <v>8541462.8503847197</v>
      </c>
      <c r="G21" s="35"/>
      <c r="H21" s="35"/>
      <c r="I21" s="35"/>
      <c r="J21" s="4" t="s">
        <v>42</v>
      </c>
      <c r="K21" s="33">
        <v>17</v>
      </c>
      <c r="L21" s="14">
        <f>'RORO Capital'!J33+'RORO Oper Maint'!J31</f>
        <v>1146860.6797921895</v>
      </c>
      <c r="M21" s="14">
        <f>'RORO Capital'!K33+'RORO Oper Maint'!K31</f>
        <v>1550956.1410329225</v>
      </c>
      <c r="N21" s="14">
        <f>'RORO Capital'!L33+'RORO Oper Maint'!L31</f>
        <v>2132725.42373267</v>
      </c>
      <c r="O21" s="14">
        <f>'RORO Capital'!M33+'RORO Oper Maint'!M31</f>
        <v>7666231.362963438</v>
      </c>
      <c r="P21" s="35"/>
      <c r="Q21" s="35"/>
      <c r="R21" s="35"/>
      <c r="S21" s="35"/>
      <c r="T21" s="4" t="s">
        <v>42</v>
      </c>
      <c r="U21" s="33">
        <v>17</v>
      </c>
      <c r="V21" s="14">
        <f>'RORO Capital'!P33+'RORO Oper Maint'!Q31</f>
        <v>2265061.1406770032</v>
      </c>
      <c r="W21" s="14">
        <f>'RORO Capital'!Q33+'RORO Oper Maint'!R31</f>
        <v>2576505.0565299331</v>
      </c>
      <c r="X21" s="14">
        <f>'RORO Capital'!R33+'RORO Oper Maint'!S31</f>
        <v>4438877.3452724591</v>
      </c>
      <c r="Y21" s="14">
        <f>'RORO Capital'!S33+'RORO Oper Maint'!T31</f>
        <v>9415694.3378060032</v>
      </c>
      <c r="Z21" s="300"/>
      <c r="AA21" s="300"/>
      <c r="AB21" s="300"/>
      <c r="AC21" s="300"/>
    </row>
    <row r="22" spans="1:29" x14ac:dyDescent="0.25">
      <c r="A22" s="4" t="s">
        <v>42</v>
      </c>
      <c r="B22" s="33">
        <v>18</v>
      </c>
      <c r="C22" s="14">
        <f>'RORO Capital'!C34+'RORO Oper Maint'!C32</f>
        <v>1778960.9102345966</v>
      </c>
      <c r="D22" s="14">
        <f>'RORO Capital'!D34+'RORO Oper Maint'!D32</f>
        <v>2172230.5987814278</v>
      </c>
      <c r="E22" s="14">
        <f>'RORO Capital'!E34+'RORO Oper Maint'!E32</f>
        <v>3437301.3845025646</v>
      </c>
      <c r="F22" s="14">
        <f>'RORO Capital'!F34+'RORO Oper Maint'!F32</f>
        <v>9093462.8503847197</v>
      </c>
      <c r="G22" s="35"/>
      <c r="H22" s="35"/>
      <c r="I22" s="35"/>
      <c r="J22" s="4" t="s">
        <v>42</v>
      </c>
      <c r="K22" s="33">
        <v>18</v>
      </c>
      <c r="L22" s="14">
        <f>'RORO Capital'!J34+'RORO Oper Maint'!J32</f>
        <v>1198860.6797921895</v>
      </c>
      <c r="M22" s="14">
        <f>'RORO Capital'!K34+'RORO Oper Maint'!K32</f>
        <v>1629956.1410329225</v>
      </c>
      <c r="N22" s="14">
        <f>'RORO Capital'!L34+'RORO Oper Maint'!L32</f>
        <v>2227725.42373267</v>
      </c>
      <c r="O22" s="14">
        <f>'RORO Capital'!M34+'RORO Oper Maint'!M32</f>
        <v>8200231.362963438</v>
      </c>
      <c r="P22" s="35"/>
      <c r="Q22" s="35"/>
      <c r="R22" s="35"/>
      <c r="S22" s="35"/>
      <c r="T22" s="4" t="s">
        <v>42</v>
      </c>
      <c r="U22" s="33">
        <v>18</v>
      </c>
      <c r="V22" s="14">
        <f>'RORO Capital'!P34+'RORO Oper Maint'!Q32</f>
        <v>2358061.1406770032</v>
      </c>
      <c r="W22" s="14">
        <f>'RORO Capital'!Q34+'RORO Oper Maint'!R32</f>
        <v>2713505.0565299331</v>
      </c>
      <c r="X22" s="14">
        <f>'RORO Capital'!R34+'RORO Oper Maint'!S32</f>
        <v>4646877.3452724591</v>
      </c>
      <c r="Y22" s="14">
        <f>'RORO Capital'!S34+'RORO Oper Maint'!T32</f>
        <v>9986694.3378060032</v>
      </c>
      <c r="Z22" s="300"/>
      <c r="AA22" s="300"/>
      <c r="AB22" s="300"/>
      <c r="AC22" s="300"/>
    </row>
    <row r="23" spans="1:29" x14ac:dyDescent="0.25">
      <c r="A23" s="4" t="s">
        <v>42</v>
      </c>
      <c r="B23" s="33">
        <v>19</v>
      </c>
      <c r="C23" s="14">
        <f>'RORO Capital'!C35+'RORO Oper Maint'!C33</f>
        <v>1857960.9102345966</v>
      </c>
      <c r="D23" s="14">
        <f>'RORO Capital'!D35+'RORO Oper Maint'!D33</f>
        <v>2289230.5987814278</v>
      </c>
      <c r="E23" s="14">
        <f>'RORO Capital'!E35+'RORO Oper Maint'!E33</f>
        <v>3601301.3845025646</v>
      </c>
      <c r="F23" s="14">
        <f>'RORO Capital'!F35+'RORO Oper Maint'!F33</f>
        <v>9696462.8503847197</v>
      </c>
      <c r="G23" s="35"/>
      <c r="H23" s="35"/>
      <c r="I23" s="35"/>
      <c r="J23" s="4" t="s">
        <v>42</v>
      </c>
      <c r="K23" s="33">
        <v>19</v>
      </c>
      <c r="L23" s="14">
        <f>'RORO Capital'!J35+'RORO Oper Maint'!J33</f>
        <v>1254860.6797921895</v>
      </c>
      <c r="M23" s="14">
        <f>'RORO Capital'!K35+'RORO Oper Maint'!K33</f>
        <v>1715956.1410329225</v>
      </c>
      <c r="N23" s="14">
        <f>'RORO Capital'!L35+'RORO Oper Maint'!L33</f>
        <v>2329725.42373267</v>
      </c>
      <c r="O23" s="14">
        <f>'RORO Capital'!M35+'RORO Oper Maint'!M33</f>
        <v>8783231.362963438</v>
      </c>
      <c r="P23" s="35"/>
      <c r="Q23" s="35"/>
      <c r="R23" s="35"/>
      <c r="S23" s="35"/>
      <c r="T23" s="4" t="s">
        <v>42</v>
      </c>
      <c r="U23" s="33">
        <v>19</v>
      </c>
      <c r="V23" s="14">
        <f>'RORO Capital'!P35+'RORO Oper Maint'!Q33</f>
        <v>2460061.1406770032</v>
      </c>
      <c r="W23" s="14">
        <f>'RORO Capital'!Q35+'RORO Oper Maint'!R33</f>
        <v>2862505.0565299331</v>
      </c>
      <c r="X23" s="14">
        <f>'RORO Capital'!R35+'RORO Oper Maint'!S33</f>
        <v>4872877.3452724591</v>
      </c>
      <c r="Y23" s="14">
        <f>'RORO Capital'!S35+'RORO Oper Maint'!T33</f>
        <v>10608694.337806003</v>
      </c>
      <c r="Z23" s="300"/>
      <c r="AA23" s="300"/>
      <c r="AB23" s="300"/>
      <c r="AC23" s="300"/>
    </row>
    <row r="24" spans="1:29" x14ac:dyDescent="0.25">
      <c r="A24" s="4" t="s">
        <v>42</v>
      </c>
      <c r="B24" s="33">
        <v>20</v>
      </c>
      <c r="C24" s="14">
        <f>'RORO Capital'!C36+'RORO Oper Maint'!C34</f>
        <v>1941960.9102345966</v>
      </c>
      <c r="D24" s="14">
        <f>'RORO Capital'!D36+'RORO Oper Maint'!D34</f>
        <v>2417230.5987814278</v>
      </c>
      <c r="E24" s="14">
        <f>'RORO Capital'!E36+'RORO Oper Maint'!E34</f>
        <v>3779301.3845025646</v>
      </c>
      <c r="F24" s="14">
        <f>'RORO Capital'!F36+'RORO Oper Maint'!F34</f>
        <v>10354462.85038472</v>
      </c>
      <c r="G24" s="35"/>
      <c r="H24" s="35"/>
      <c r="I24" s="35"/>
      <c r="J24" s="4" t="s">
        <v>42</v>
      </c>
      <c r="K24" s="33">
        <v>20</v>
      </c>
      <c r="L24" s="14">
        <f>'RORO Capital'!J36+'RORO Oper Maint'!J34</f>
        <v>1315860.6797921895</v>
      </c>
      <c r="M24" s="14">
        <f>'RORO Capital'!K36+'RORO Oper Maint'!K34</f>
        <v>1808956.1410329225</v>
      </c>
      <c r="N24" s="14">
        <f>'RORO Capital'!L36+'RORO Oper Maint'!L34</f>
        <v>2440725.42373267</v>
      </c>
      <c r="O24" s="14">
        <f>'RORO Capital'!M36+'RORO Oper Maint'!M34</f>
        <v>9421231.362963438</v>
      </c>
      <c r="P24" s="35"/>
      <c r="Q24" s="35"/>
      <c r="R24" s="35"/>
      <c r="S24" s="35"/>
      <c r="T24" s="4" t="s">
        <v>42</v>
      </c>
      <c r="U24" s="33">
        <v>20</v>
      </c>
      <c r="V24" s="14">
        <f>'RORO Capital'!P36+'RORO Oper Maint'!Q34</f>
        <v>2569061.1406770032</v>
      </c>
      <c r="W24" s="14">
        <f>'RORO Capital'!Q36+'RORO Oper Maint'!R34</f>
        <v>3024505.0565299331</v>
      </c>
      <c r="X24" s="14">
        <f>'RORO Capital'!R36+'RORO Oper Maint'!S34</f>
        <v>5117877.3452724591</v>
      </c>
      <c r="Y24" s="14">
        <f>'RORO Capital'!S36+'RORO Oper Maint'!T34</f>
        <v>11288694.337806003</v>
      </c>
      <c r="Z24" s="300"/>
      <c r="AA24" s="300"/>
      <c r="AB24" s="300"/>
      <c r="AC24" s="300"/>
    </row>
    <row r="25" spans="1:29" x14ac:dyDescent="0.25">
      <c r="A25" s="4" t="s">
        <v>42</v>
      </c>
      <c r="B25" s="33">
        <v>21</v>
      </c>
      <c r="C25" s="14">
        <f>'RORO Capital'!C37+'RORO Oper Maint'!C35</f>
        <v>1729000</v>
      </c>
      <c r="D25" s="14">
        <f>'RORO Capital'!D37+'RORO Oper Maint'!D35</f>
        <v>2221000</v>
      </c>
      <c r="E25" s="14">
        <f>'RORO Capital'!E37+'RORO Oper Maint'!E35</f>
        <v>3200000</v>
      </c>
      <c r="F25" s="14">
        <f>'RORO Capital'!F37+'RORO Oper Maint'!F35</f>
        <v>9573000</v>
      </c>
      <c r="G25" s="35"/>
      <c r="H25" s="35"/>
      <c r="I25" s="35"/>
      <c r="J25" s="4" t="s">
        <v>42</v>
      </c>
      <c r="K25" s="33">
        <v>21</v>
      </c>
      <c r="L25" s="14">
        <f>'RORO Capital'!J37+'RORO Oper Maint'!J35</f>
        <v>1278000</v>
      </c>
      <c r="M25" s="14">
        <f>'RORO Capital'!K37+'RORO Oper Maint'!K35</f>
        <v>1706000</v>
      </c>
      <c r="N25" s="14">
        <f>'RORO Capital'!L37+'RORO Oper Maint'!L35</f>
        <v>2128000</v>
      </c>
      <c r="O25" s="14">
        <f>'RORO Capital'!M37+'RORO Oper Maint'!M35</f>
        <v>9014000</v>
      </c>
      <c r="P25" s="35"/>
      <c r="Q25" s="35"/>
      <c r="R25" s="35"/>
      <c r="S25" s="35"/>
      <c r="T25" s="4" t="s">
        <v>42</v>
      </c>
      <c r="U25" s="33">
        <v>21</v>
      </c>
      <c r="V25" s="14">
        <f>'RORO Capital'!P37+'RORO Oper Maint'!Q35</f>
        <v>2180000</v>
      </c>
      <c r="W25" s="14">
        <f>'RORO Capital'!Q37+'RORO Oper Maint'!R35</f>
        <v>2737000</v>
      </c>
      <c r="X25" s="14">
        <f>'RORO Capital'!R37+'RORO Oper Maint'!S35</f>
        <v>4273000</v>
      </c>
      <c r="Y25" s="14">
        <f>'RORO Capital'!S37+'RORO Oper Maint'!T35</f>
        <v>10131000</v>
      </c>
      <c r="Z25" s="300"/>
      <c r="AA25" s="300"/>
      <c r="AB25" s="300"/>
      <c r="AC25" s="300"/>
    </row>
    <row r="26" spans="1:29" x14ac:dyDescent="0.25">
      <c r="A26" s="4" t="s">
        <v>42</v>
      </c>
      <c r="B26" s="33">
        <v>22</v>
      </c>
      <c r="C26" s="14">
        <f>'RORO Capital'!C38+'RORO Oper Maint'!C36</f>
        <v>1828000</v>
      </c>
      <c r="D26" s="14">
        <f>'RORO Capital'!D38+'RORO Oper Maint'!D36</f>
        <v>2372000</v>
      </c>
      <c r="E26" s="14">
        <f>'RORO Capital'!E38+'RORO Oper Maint'!E36</f>
        <v>3410000</v>
      </c>
      <c r="F26" s="14">
        <f>'RORO Capital'!F38+'RORO Oper Maint'!F36</f>
        <v>10361000</v>
      </c>
      <c r="G26" s="35"/>
      <c r="H26" s="35"/>
      <c r="I26" s="35"/>
      <c r="J26" s="4" t="s">
        <v>42</v>
      </c>
      <c r="K26" s="33">
        <v>22</v>
      </c>
      <c r="L26" s="14">
        <f>'RORO Capital'!J38+'RORO Oper Maint'!J36</f>
        <v>1349000</v>
      </c>
      <c r="M26" s="14">
        <f>'RORO Capital'!K38+'RORO Oper Maint'!K36</f>
        <v>1815000</v>
      </c>
      <c r="N26" s="14">
        <f>'RORO Capital'!L38+'RORO Oper Maint'!L36</f>
        <v>2257000</v>
      </c>
      <c r="O26" s="14">
        <f>'RORO Capital'!M38+'RORO Oper Maint'!M36</f>
        <v>9779000</v>
      </c>
      <c r="P26" s="35"/>
      <c r="Q26" s="35"/>
      <c r="R26" s="35"/>
      <c r="S26" s="35"/>
      <c r="T26" s="4" t="s">
        <v>42</v>
      </c>
      <c r="U26" s="33">
        <v>22</v>
      </c>
      <c r="V26" s="14">
        <f>'RORO Capital'!P38+'RORO Oper Maint'!Q36</f>
        <v>2307000</v>
      </c>
      <c r="W26" s="14">
        <f>'RORO Capital'!Q38+'RORO Oper Maint'!R36</f>
        <v>2929000</v>
      </c>
      <c r="X26" s="14">
        <f>'RORO Capital'!R38+'RORO Oper Maint'!S36</f>
        <v>4562000</v>
      </c>
      <c r="Y26" s="14">
        <f>'RORO Capital'!S38+'RORO Oper Maint'!T36</f>
        <v>10942000</v>
      </c>
      <c r="Z26" s="300"/>
      <c r="AA26" s="300"/>
      <c r="AB26" s="300"/>
      <c r="AC26" s="300"/>
    </row>
    <row r="27" spans="1:29" x14ac:dyDescent="0.25">
      <c r="A27" s="4" t="s">
        <v>42</v>
      </c>
      <c r="B27" s="33">
        <v>23</v>
      </c>
      <c r="C27" s="14">
        <f>'RORO Capital'!C39+'RORO Oper Maint'!C37</f>
        <v>1936000</v>
      </c>
      <c r="D27" s="14">
        <f>'RORO Capital'!D39+'RORO Oper Maint'!D37</f>
        <v>2536000</v>
      </c>
      <c r="E27" s="14">
        <f>'RORO Capital'!E39+'RORO Oper Maint'!E37</f>
        <v>3637000</v>
      </c>
      <c r="F27" s="14">
        <f>'RORO Capital'!F39+'RORO Oper Maint'!F37</f>
        <v>11222000</v>
      </c>
      <c r="G27" s="35"/>
      <c r="H27" s="35"/>
      <c r="I27" s="35"/>
      <c r="J27" s="4" t="s">
        <v>42</v>
      </c>
      <c r="K27" s="33">
        <v>23</v>
      </c>
      <c r="L27" s="14">
        <f>'RORO Capital'!J39+'RORO Oper Maint'!J37</f>
        <v>1426000</v>
      </c>
      <c r="M27" s="14">
        <f>'RORO Capital'!K39+'RORO Oper Maint'!K37</f>
        <v>1935000</v>
      </c>
      <c r="N27" s="14">
        <f>'RORO Capital'!L39+'RORO Oper Maint'!L37</f>
        <v>2398000</v>
      </c>
      <c r="O27" s="14">
        <f>'RORO Capital'!M39+'RORO Oper Maint'!M37</f>
        <v>10616000</v>
      </c>
      <c r="P27" s="35"/>
      <c r="Q27" s="35"/>
      <c r="R27" s="35"/>
      <c r="S27" s="35"/>
      <c r="T27" s="4" t="s">
        <v>42</v>
      </c>
      <c r="U27" s="33">
        <v>23</v>
      </c>
      <c r="V27" s="14">
        <f>'RORO Capital'!P39+'RORO Oper Maint'!Q37</f>
        <v>2446000</v>
      </c>
      <c r="W27" s="14">
        <f>'RORO Capital'!Q39+'RORO Oper Maint'!R37</f>
        <v>3138000</v>
      </c>
      <c r="X27" s="14">
        <f>'RORO Capital'!R39+'RORO Oper Maint'!S37</f>
        <v>4876000</v>
      </c>
      <c r="Y27" s="14">
        <f>'RORO Capital'!S39+'RORO Oper Maint'!T37</f>
        <v>11829000</v>
      </c>
      <c r="Z27" s="300"/>
      <c r="AA27" s="300"/>
      <c r="AB27" s="300"/>
      <c r="AC27" s="300"/>
    </row>
    <row r="28" spans="1:29" x14ac:dyDescent="0.25">
      <c r="A28" s="4" t="s">
        <v>42</v>
      </c>
      <c r="B28" s="33">
        <v>24</v>
      </c>
      <c r="C28" s="14">
        <f>'RORO Capital'!C40+'RORO Oper Maint'!C38</f>
        <v>2052000</v>
      </c>
      <c r="D28" s="14">
        <f>'RORO Capital'!D40+'RORO Oper Maint'!D38</f>
        <v>2715000</v>
      </c>
      <c r="E28" s="14">
        <f>'RORO Capital'!E40+'RORO Oper Maint'!E38</f>
        <v>3884000</v>
      </c>
      <c r="F28" s="14">
        <f>'RORO Capital'!F40+'RORO Oper Maint'!F38</f>
        <v>12166000</v>
      </c>
      <c r="G28" s="35"/>
      <c r="H28" s="35"/>
      <c r="I28" s="35"/>
      <c r="J28" s="4" t="s">
        <v>42</v>
      </c>
      <c r="K28" s="33">
        <v>24</v>
      </c>
      <c r="L28" s="14">
        <f>'RORO Capital'!J40+'RORO Oper Maint'!J38</f>
        <v>1509000</v>
      </c>
      <c r="M28" s="14">
        <f>'RORO Capital'!K40+'RORO Oper Maint'!K38</f>
        <v>2065000</v>
      </c>
      <c r="N28" s="14">
        <f>'RORO Capital'!L40+'RORO Oper Maint'!L38</f>
        <v>2551000</v>
      </c>
      <c r="O28" s="14">
        <f>'RORO Capital'!M40+'RORO Oper Maint'!M38</f>
        <v>11534000</v>
      </c>
      <c r="P28" s="35"/>
      <c r="Q28" s="35"/>
      <c r="R28" s="35"/>
      <c r="S28" s="35"/>
      <c r="T28" s="4" t="s">
        <v>42</v>
      </c>
      <c r="U28" s="33">
        <v>24</v>
      </c>
      <c r="V28" s="14">
        <f>'RORO Capital'!P40+'RORO Oper Maint'!Q38</f>
        <v>2595000</v>
      </c>
      <c r="W28" s="14">
        <f>'RORO Capital'!Q40+'RORO Oper Maint'!R38</f>
        <v>3366000</v>
      </c>
      <c r="X28" s="14">
        <f>'RORO Capital'!R40+'RORO Oper Maint'!S38</f>
        <v>5217000</v>
      </c>
      <c r="Y28" s="14">
        <f>'RORO Capital'!S40+'RORO Oper Maint'!T38</f>
        <v>12798000</v>
      </c>
      <c r="Z28" s="300"/>
      <c r="AA28" s="300"/>
      <c r="AB28" s="300"/>
      <c r="AC28" s="300"/>
    </row>
    <row r="29" spans="1:29" x14ac:dyDescent="0.25">
      <c r="A29" s="4" t="s">
        <v>42</v>
      </c>
      <c r="B29" s="33">
        <v>25</v>
      </c>
      <c r="C29" s="14">
        <f>'RORO Capital'!C41+'RORO Oper Maint'!C39</f>
        <v>2178000</v>
      </c>
      <c r="D29" s="14">
        <f>'RORO Capital'!D41+'RORO Oper Maint'!D39</f>
        <v>2910000</v>
      </c>
      <c r="E29" s="14">
        <f>'RORO Capital'!E41+'RORO Oper Maint'!E39</f>
        <v>4153000</v>
      </c>
      <c r="F29" s="14">
        <f>'RORO Capital'!F41+'RORO Oper Maint'!F39</f>
        <v>13198000</v>
      </c>
      <c r="G29" s="35"/>
      <c r="H29" s="35"/>
      <c r="I29" s="35"/>
      <c r="J29" s="4" t="s">
        <v>42</v>
      </c>
      <c r="K29" s="33">
        <v>25</v>
      </c>
      <c r="L29" s="14">
        <f>'RORO Capital'!J41+'RORO Oper Maint'!J39</f>
        <v>1599000</v>
      </c>
      <c r="M29" s="14">
        <f>'RORO Capital'!K41+'RORO Oper Maint'!K39</f>
        <v>2206000</v>
      </c>
      <c r="N29" s="14">
        <f>'RORO Capital'!L41+'RORO Oper Maint'!L39</f>
        <v>2717000</v>
      </c>
      <c r="O29" s="14">
        <f>'RORO Capital'!M41+'RORO Oper Maint'!M39</f>
        <v>12539000</v>
      </c>
      <c r="P29" s="35"/>
      <c r="Q29" s="35"/>
      <c r="R29" s="35"/>
      <c r="S29" s="35"/>
      <c r="T29" s="4" t="s">
        <v>42</v>
      </c>
      <c r="U29" s="33">
        <v>25</v>
      </c>
      <c r="V29" s="14">
        <f>'RORO Capital'!P41+'RORO Oper Maint'!Q39</f>
        <v>2758000</v>
      </c>
      <c r="W29" s="14">
        <f>'RORO Capital'!Q41+'RORO Oper Maint'!R39</f>
        <v>3614000</v>
      </c>
      <c r="X29" s="14">
        <f>'RORO Capital'!R41+'RORO Oper Maint'!S39</f>
        <v>5589000</v>
      </c>
      <c r="Y29" s="14">
        <f>'RORO Capital'!S41+'RORO Oper Maint'!T39</f>
        <v>13858000</v>
      </c>
      <c r="Z29" s="300"/>
      <c r="AA29" s="300"/>
      <c r="AB29" s="300"/>
      <c r="AC29" s="300"/>
    </row>
    <row r="30" spans="1:29" x14ac:dyDescent="0.25">
      <c r="A30" s="4" t="s">
        <v>42</v>
      </c>
      <c r="B30" s="33">
        <v>26</v>
      </c>
      <c r="C30" s="14">
        <f>'RORO Capital'!C42+'RORO Oper Maint'!C40</f>
        <v>2315000</v>
      </c>
      <c r="D30" s="14">
        <f>'RORO Capital'!D42+'RORO Oper Maint'!D40</f>
        <v>3123000</v>
      </c>
      <c r="E30" s="14">
        <f>'RORO Capital'!E42+'RORO Oper Maint'!E40</f>
        <v>4445000</v>
      </c>
      <c r="F30" s="14">
        <f>'RORO Capital'!F42+'RORO Oper Maint'!F40</f>
        <v>14329000</v>
      </c>
      <c r="G30" s="35"/>
      <c r="H30" s="35"/>
      <c r="I30" s="35"/>
      <c r="J30" s="4" t="s">
        <v>42</v>
      </c>
      <c r="K30" s="33">
        <v>26</v>
      </c>
      <c r="L30" s="14">
        <f>'RORO Capital'!J42+'RORO Oper Maint'!J40</f>
        <v>1697000</v>
      </c>
      <c r="M30" s="14">
        <f>'RORO Capital'!K42+'RORO Oper Maint'!K40</f>
        <v>2361000</v>
      </c>
      <c r="N30" s="14">
        <f>'RORO Capital'!L42+'RORO Oper Maint'!L40</f>
        <v>2897000</v>
      </c>
      <c r="O30" s="14">
        <f>'RORO Capital'!M42+'RORO Oper Maint'!M40</f>
        <v>13641000</v>
      </c>
      <c r="P30" s="35"/>
      <c r="Q30" s="35"/>
      <c r="R30" s="35"/>
      <c r="S30" s="35"/>
      <c r="T30" s="4" t="s">
        <v>42</v>
      </c>
      <c r="U30" s="33">
        <v>26</v>
      </c>
      <c r="V30" s="14">
        <f>'RORO Capital'!P42+'RORO Oper Maint'!Q40</f>
        <v>2934000</v>
      </c>
      <c r="W30" s="14">
        <f>'RORO Capital'!Q42+'RORO Oper Maint'!R40</f>
        <v>3885000</v>
      </c>
      <c r="X30" s="14">
        <f>'RORO Capital'!R42+'RORO Oper Maint'!S40</f>
        <v>5993000</v>
      </c>
      <c r="Y30" s="14">
        <f>'RORO Capital'!S42+'RORO Oper Maint'!T40</f>
        <v>15018000</v>
      </c>
      <c r="Z30" s="300"/>
      <c r="AA30" s="300"/>
      <c r="AB30" s="300"/>
      <c r="AC30" s="300"/>
    </row>
    <row r="31" spans="1:29" x14ac:dyDescent="0.25">
      <c r="A31" s="4" t="s">
        <v>42</v>
      </c>
      <c r="B31" s="33">
        <v>27</v>
      </c>
      <c r="C31" s="14">
        <f>'RORO Capital'!C43+'RORO Oper Maint'!C41</f>
        <v>2464000</v>
      </c>
      <c r="D31" s="14">
        <f>'RORO Capital'!D43+'RORO Oper Maint'!D41</f>
        <v>3355000</v>
      </c>
      <c r="E31" s="14">
        <f>'RORO Capital'!E43+'RORO Oper Maint'!E41</f>
        <v>4764000</v>
      </c>
      <c r="F31" s="14">
        <f>'RORO Capital'!F43+'RORO Oper Maint'!F41</f>
        <v>15568000</v>
      </c>
      <c r="G31" s="35"/>
      <c r="H31" s="35"/>
      <c r="I31" s="35"/>
      <c r="J31" s="4" t="s">
        <v>42</v>
      </c>
      <c r="K31" s="33">
        <v>27</v>
      </c>
      <c r="L31" s="14">
        <f>'RORO Capital'!J43+'RORO Oper Maint'!J41</f>
        <v>1803000</v>
      </c>
      <c r="M31" s="14">
        <f>'RORO Capital'!K43+'RORO Oper Maint'!K41</f>
        <v>2529000</v>
      </c>
      <c r="N31" s="14">
        <f>'RORO Capital'!L43+'RORO Oper Maint'!L41</f>
        <v>3093000</v>
      </c>
      <c r="O31" s="14">
        <f>'RORO Capital'!M43+'RORO Oper Maint'!M41</f>
        <v>14849000</v>
      </c>
      <c r="P31" s="35"/>
      <c r="Q31" s="35"/>
      <c r="R31" s="35"/>
      <c r="S31" s="35"/>
      <c r="T31" s="4" t="s">
        <v>42</v>
      </c>
      <c r="U31" s="33">
        <v>27</v>
      </c>
      <c r="V31" s="14">
        <f>'RORO Capital'!P43+'RORO Oper Maint'!Q41</f>
        <v>3125000</v>
      </c>
      <c r="W31" s="14">
        <f>'RORO Capital'!Q43+'RORO Oper Maint'!R41</f>
        <v>4181000</v>
      </c>
      <c r="X31" s="14">
        <f>'RORO Capital'!R43+'RORO Oper Maint'!S41</f>
        <v>6434000</v>
      </c>
      <c r="Y31" s="14">
        <f>'RORO Capital'!S43+'RORO Oper Maint'!T41</f>
        <v>16288000</v>
      </c>
      <c r="Z31" s="300"/>
      <c r="AA31" s="300"/>
      <c r="AB31" s="300"/>
      <c r="AC31" s="300"/>
    </row>
    <row r="32" spans="1:29" x14ac:dyDescent="0.25">
      <c r="A32" s="4" t="s">
        <v>42</v>
      </c>
      <c r="B32" s="33">
        <v>28</v>
      </c>
      <c r="C32" s="14">
        <f>'RORO Capital'!C44+'RORO Oper Maint'!C42</f>
        <v>2626000</v>
      </c>
      <c r="D32" s="14">
        <f>'RORO Capital'!D44+'RORO Oper Maint'!D42</f>
        <v>3608000</v>
      </c>
      <c r="E32" s="14">
        <f>'RORO Capital'!E44+'RORO Oper Maint'!E42</f>
        <v>5111000</v>
      </c>
      <c r="F32" s="14">
        <f>'RORO Capital'!F44+'RORO Oper Maint'!F42</f>
        <v>16926000</v>
      </c>
      <c r="G32" s="35"/>
      <c r="H32" s="35"/>
      <c r="I32" s="35"/>
      <c r="J32" s="4" t="s">
        <v>42</v>
      </c>
      <c r="K32" s="33">
        <v>28</v>
      </c>
      <c r="L32" s="14">
        <f>'RORO Capital'!J44+'RORO Oper Maint'!J42</f>
        <v>1918000</v>
      </c>
      <c r="M32" s="14">
        <f>'RORO Capital'!K44+'RORO Oper Maint'!K42</f>
        <v>2712000</v>
      </c>
      <c r="N32" s="14">
        <f>'RORO Capital'!L44+'RORO Oper Maint'!L42</f>
        <v>3307000</v>
      </c>
      <c r="O32" s="14">
        <f>'RORO Capital'!M44+'RORO Oper Maint'!M42</f>
        <v>16173000</v>
      </c>
      <c r="P32" s="35"/>
      <c r="Q32" s="35"/>
      <c r="R32" s="35"/>
      <c r="S32" s="35"/>
      <c r="T32" s="4" t="s">
        <v>42</v>
      </c>
      <c r="U32" s="33">
        <v>28</v>
      </c>
      <c r="V32" s="14">
        <f>'RORO Capital'!P44+'RORO Oper Maint'!Q42</f>
        <v>3333000</v>
      </c>
      <c r="W32" s="14">
        <f>'RORO Capital'!Q44+'RORO Oper Maint'!R42</f>
        <v>4504000</v>
      </c>
      <c r="X32" s="14">
        <f>'RORO Capital'!R44+'RORO Oper Maint'!S42</f>
        <v>6915000</v>
      </c>
      <c r="Y32" s="14">
        <f>'RORO Capital'!S44+'RORO Oper Maint'!T42</f>
        <v>17678000</v>
      </c>
      <c r="Z32" s="300"/>
      <c r="AA32" s="300"/>
      <c r="AB32" s="300"/>
      <c r="AC32" s="300"/>
    </row>
    <row r="33" spans="1:29" x14ac:dyDescent="0.25">
      <c r="A33" s="4" t="s">
        <v>42</v>
      </c>
      <c r="B33" s="33">
        <v>29</v>
      </c>
      <c r="C33" s="14">
        <f>'RORO Capital'!C45+'RORO Oper Maint'!C43</f>
        <v>2801000</v>
      </c>
      <c r="D33" s="14">
        <f>'RORO Capital'!D45+'RORO Oper Maint'!D43</f>
        <v>3885000</v>
      </c>
      <c r="E33" s="14">
        <f>'RORO Capital'!E45+'RORO Oper Maint'!E43</f>
        <v>5490000</v>
      </c>
      <c r="F33" s="14">
        <f>'RORO Capital'!F45+'RORO Oper Maint'!F43</f>
        <v>18414000</v>
      </c>
      <c r="G33" s="35"/>
      <c r="H33" s="35"/>
      <c r="I33" s="35"/>
      <c r="J33" s="4" t="s">
        <v>42</v>
      </c>
      <c r="K33" s="33">
        <v>29</v>
      </c>
      <c r="L33" s="14">
        <f>'RORO Capital'!J45+'RORO Oper Maint'!J43</f>
        <v>2044000</v>
      </c>
      <c r="M33" s="14">
        <f>'RORO Capital'!K45+'RORO Oper Maint'!K43</f>
        <v>2912000</v>
      </c>
      <c r="N33" s="14">
        <f>'RORO Capital'!L45+'RORO Oper Maint'!L43</f>
        <v>3539000</v>
      </c>
      <c r="O33" s="14">
        <f>'RORO Capital'!M45+'RORO Oper Maint'!M43</f>
        <v>17626000</v>
      </c>
      <c r="P33" s="35"/>
      <c r="Q33" s="35"/>
      <c r="R33" s="35"/>
      <c r="S33" s="35"/>
      <c r="T33" s="4" t="s">
        <v>42</v>
      </c>
      <c r="U33" s="33">
        <v>29</v>
      </c>
      <c r="V33" s="14">
        <f>'RORO Capital'!P45+'RORO Oper Maint'!Q43</f>
        <v>3559000</v>
      </c>
      <c r="W33" s="14">
        <f>'RORO Capital'!Q45+'RORO Oper Maint'!R43</f>
        <v>4857000</v>
      </c>
      <c r="X33" s="14">
        <f>'RORO Capital'!R45+'RORO Oper Maint'!S43</f>
        <v>7440000</v>
      </c>
      <c r="Y33" s="14">
        <f>'RORO Capital'!S45+'RORO Oper Maint'!T43</f>
        <v>19201000</v>
      </c>
      <c r="Z33" s="300"/>
      <c r="AA33" s="300"/>
      <c r="AB33" s="300"/>
      <c r="AC33" s="300"/>
    </row>
    <row r="34" spans="1:29" x14ac:dyDescent="0.25">
      <c r="A34" s="4" t="s">
        <v>42</v>
      </c>
      <c r="B34" s="33">
        <v>30</v>
      </c>
      <c r="C34" s="14">
        <f>'RORO Capital'!C46+'RORO Oper Maint'!C44</f>
        <v>2993000</v>
      </c>
      <c r="D34" s="14">
        <f>'RORO Capital'!D46+'RORO Oper Maint'!D44</f>
        <v>4187000</v>
      </c>
      <c r="E34" s="14">
        <f>'RORO Capital'!E46+'RORO Oper Maint'!E44</f>
        <v>5903000</v>
      </c>
      <c r="F34" s="14">
        <f>'RORO Capital'!F46+'RORO Oper Maint'!F44</f>
        <v>20045000</v>
      </c>
      <c r="G34" s="35"/>
      <c r="H34" s="35"/>
      <c r="I34" s="35"/>
      <c r="J34" s="4" t="s">
        <v>42</v>
      </c>
      <c r="K34" s="33">
        <v>30</v>
      </c>
      <c r="L34" s="14">
        <f>'RORO Capital'!J46+'RORO Oper Maint'!J44</f>
        <v>2181000</v>
      </c>
      <c r="M34" s="14">
        <f>'RORO Capital'!K46+'RORO Oper Maint'!K44</f>
        <v>3131000</v>
      </c>
      <c r="N34" s="14">
        <f>'RORO Capital'!L46+'RORO Oper Maint'!L44</f>
        <v>3793000</v>
      </c>
      <c r="O34" s="14">
        <f>'RORO Capital'!M46+'RORO Oper Maint'!M44</f>
        <v>19220000</v>
      </c>
      <c r="P34" s="35"/>
      <c r="Q34" s="35"/>
      <c r="R34" s="35"/>
      <c r="S34" s="35"/>
      <c r="T34" s="4" t="s">
        <v>42</v>
      </c>
      <c r="U34" s="33">
        <v>30</v>
      </c>
      <c r="V34" s="14">
        <f>'RORO Capital'!P46+'RORO Oper Maint'!Q44</f>
        <v>3805000</v>
      </c>
      <c r="W34" s="14">
        <f>'RORO Capital'!Q46+'RORO Oper Maint'!R44</f>
        <v>5243000</v>
      </c>
      <c r="X34" s="14">
        <f>'RORO Capital'!R46+'RORO Oper Maint'!S44</f>
        <v>8013000</v>
      </c>
      <c r="Y34" s="14">
        <f>'RORO Capital'!S46+'RORO Oper Maint'!T44</f>
        <v>20869000</v>
      </c>
      <c r="Z34" s="300"/>
      <c r="AA34" s="300"/>
      <c r="AB34" s="300"/>
      <c r="AC34" s="300"/>
    </row>
    <row r="35" spans="1:29" x14ac:dyDescent="0.25">
      <c r="A35" s="4" t="s">
        <v>42</v>
      </c>
      <c r="B35" s="33">
        <v>31</v>
      </c>
      <c r="C35" s="14">
        <f>'RORO Capital'!C47+'RORO Oper Maint'!C45</f>
        <v>3201000</v>
      </c>
      <c r="D35" s="14">
        <f>'RORO Capital'!D47+'RORO Oper Maint'!D45</f>
        <v>4517000</v>
      </c>
      <c r="E35" s="14">
        <f>'RORO Capital'!E47+'RORO Oper Maint'!E45</f>
        <v>6354000</v>
      </c>
      <c r="F35" s="14">
        <f>'RORO Capital'!F47+'RORO Oper Maint'!F45</f>
        <v>21833000</v>
      </c>
      <c r="G35" s="35"/>
      <c r="H35" s="35"/>
      <c r="I35" s="35"/>
      <c r="J35" s="4" t="s">
        <v>42</v>
      </c>
      <c r="K35" s="33">
        <v>31</v>
      </c>
      <c r="L35" s="14">
        <f>'RORO Capital'!J47+'RORO Oper Maint'!J45</f>
        <v>2329000</v>
      </c>
      <c r="M35" s="14">
        <f>'RORO Capital'!K47+'RORO Oper Maint'!K45</f>
        <v>3369000</v>
      </c>
      <c r="N35" s="14">
        <f>'RORO Capital'!L47+'RORO Oper Maint'!L45</f>
        <v>4069000</v>
      </c>
      <c r="O35" s="14">
        <f>'RORO Capital'!M47+'RORO Oper Maint'!M45</f>
        <v>20969000</v>
      </c>
      <c r="P35" s="35"/>
      <c r="Q35" s="35"/>
      <c r="R35" s="35"/>
      <c r="S35" s="35"/>
      <c r="T35" s="4" t="s">
        <v>42</v>
      </c>
      <c r="U35" s="33">
        <v>31</v>
      </c>
      <c r="V35" s="14">
        <f>'RORO Capital'!P47+'RORO Oper Maint'!Q45</f>
        <v>4073000</v>
      </c>
      <c r="W35" s="14">
        <f>'RORO Capital'!Q47+'RORO Oper Maint'!R45</f>
        <v>5665000</v>
      </c>
      <c r="X35" s="14">
        <f>'RORO Capital'!R47+'RORO Oper Maint'!S45</f>
        <v>8638000</v>
      </c>
      <c r="Y35" s="14">
        <f>'RORO Capital'!S47+'RORO Oper Maint'!T45</f>
        <v>22698000</v>
      </c>
      <c r="Z35" s="300"/>
      <c r="AA35" s="300"/>
      <c r="AB35" s="300"/>
      <c r="AC35" s="300"/>
    </row>
    <row r="36" spans="1:29" x14ac:dyDescent="0.25">
      <c r="A36" s="4" t="s">
        <v>42</v>
      </c>
      <c r="B36" s="33">
        <v>32</v>
      </c>
      <c r="C36" s="14">
        <f>'RORO Capital'!C48+'RORO Oper Maint'!C46</f>
        <v>3428000</v>
      </c>
      <c r="D36" s="14">
        <f>'RORO Capital'!D48+'RORO Oper Maint'!D46</f>
        <v>4879000</v>
      </c>
      <c r="E36" s="14">
        <f>'RORO Capital'!E48+'RORO Oper Maint'!E46</f>
        <v>6846000</v>
      </c>
      <c r="F36" s="14">
        <f>'RORO Capital'!F48+'RORO Oper Maint'!F46</f>
        <v>23795000</v>
      </c>
      <c r="G36" s="35"/>
      <c r="H36" s="35"/>
      <c r="I36" s="35"/>
      <c r="J36" s="4" t="s">
        <v>42</v>
      </c>
      <c r="K36" s="33">
        <v>32</v>
      </c>
      <c r="L36" s="14">
        <f>'RORO Capital'!J48+'RORO Oper Maint'!J46</f>
        <v>2492000</v>
      </c>
      <c r="M36" s="14">
        <f>'RORO Capital'!K48+'RORO Oper Maint'!K46</f>
        <v>3630000</v>
      </c>
      <c r="N36" s="14">
        <f>'RORO Capital'!L48+'RORO Oper Maint'!L46</f>
        <v>4371000</v>
      </c>
      <c r="O36" s="14">
        <f>'RORO Capital'!M48+'RORO Oper Maint'!M46</f>
        <v>22888000</v>
      </c>
      <c r="P36" s="35"/>
      <c r="Q36" s="35"/>
      <c r="R36" s="35"/>
      <c r="S36" s="35"/>
      <c r="T36" s="4" t="s">
        <v>42</v>
      </c>
      <c r="U36" s="33">
        <v>32</v>
      </c>
      <c r="V36" s="14">
        <f>'RORO Capital'!P48+'RORO Oper Maint'!Q46</f>
        <v>4365000</v>
      </c>
      <c r="W36" s="14">
        <f>'RORO Capital'!Q48+'RORO Oper Maint'!R46</f>
        <v>6127000</v>
      </c>
      <c r="X36" s="14">
        <f>'RORO Capital'!R48+'RORO Oper Maint'!S46</f>
        <v>9322000</v>
      </c>
      <c r="Y36" s="14">
        <f>'RORO Capital'!S48+'RORO Oper Maint'!T46</f>
        <v>24701000</v>
      </c>
      <c r="Z36" s="300"/>
      <c r="AA36" s="300"/>
      <c r="AB36" s="300"/>
      <c r="AC36" s="300"/>
    </row>
    <row r="37" spans="1:29" x14ac:dyDescent="0.25">
      <c r="A37" s="4" t="s">
        <v>42</v>
      </c>
      <c r="B37" s="33">
        <v>33</v>
      </c>
      <c r="C37" s="14">
        <f>'RORO Capital'!C49+'RORO Oper Maint'!C47</f>
        <v>3676000</v>
      </c>
      <c r="D37" s="14">
        <f>'RORO Capital'!D49+'RORO Oper Maint'!D47</f>
        <v>5274000</v>
      </c>
      <c r="E37" s="14">
        <f>'RORO Capital'!E49+'RORO Oper Maint'!E47</f>
        <v>7384000</v>
      </c>
      <c r="F37" s="14">
        <f>'RORO Capital'!F49+'RORO Oper Maint'!F47</f>
        <v>25946000</v>
      </c>
      <c r="G37" s="35"/>
      <c r="H37" s="35"/>
      <c r="I37" s="35"/>
      <c r="J37" s="4" t="s">
        <v>42</v>
      </c>
      <c r="K37" s="33">
        <v>33</v>
      </c>
      <c r="L37" s="14">
        <f>'RORO Capital'!J49+'RORO Oper Maint'!J47</f>
        <v>2669000</v>
      </c>
      <c r="M37" s="14">
        <f>'RORO Capital'!K49+'RORO Oper Maint'!K47</f>
        <v>3916000</v>
      </c>
      <c r="N37" s="14">
        <f>'RORO Capital'!L49+'RORO Oper Maint'!L47</f>
        <v>4700000</v>
      </c>
      <c r="O37" s="14">
        <f>'RORO Capital'!M49+'RORO Oper Maint'!M47</f>
        <v>24994000</v>
      </c>
      <c r="P37" s="35"/>
      <c r="Q37" s="35"/>
      <c r="R37" s="35"/>
      <c r="S37" s="35"/>
      <c r="T37" s="4" t="s">
        <v>42</v>
      </c>
      <c r="U37" s="33">
        <v>33</v>
      </c>
      <c r="V37" s="14">
        <f>'RORO Capital'!P49+'RORO Oper Maint'!Q47</f>
        <v>4683000</v>
      </c>
      <c r="W37" s="14">
        <f>'RORO Capital'!Q49+'RORO Oper Maint'!R47</f>
        <v>6633000</v>
      </c>
      <c r="X37" s="14">
        <f>'RORO Capital'!R49+'RORO Oper Maint'!S47</f>
        <v>10069000</v>
      </c>
      <c r="Y37" s="14">
        <f>'RORO Capital'!S49+'RORO Oper Maint'!T47</f>
        <v>26899000</v>
      </c>
      <c r="Z37" s="300"/>
      <c r="AA37" s="300"/>
      <c r="AB37" s="300"/>
      <c r="AC37" s="300"/>
    </row>
    <row r="38" spans="1:29" x14ac:dyDescent="0.25">
      <c r="A38" s="4" t="s">
        <v>42</v>
      </c>
      <c r="B38" s="33">
        <v>34</v>
      </c>
      <c r="C38" s="14">
        <f>'RORO Capital'!C50+'RORO Oper Maint'!C48</f>
        <v>3946000</v>
      </c>
      <c r="D38" s="14">
        <f>'RORO Capital'!D50+'RORO Oper Maint'!D48</f>
        <v>5707000</v>
      </c>
      <c r="E38" s="14">
        <f>'RORO Capital'!E50+'RORO Oper Maint'!E48</f>
        <v>7972000</v>
      </c>
      <c r="F38" s="14">
        <f>'RORO Capital'!F50+'RORO Oper Maint'!F48</f>
        <v>28307000</v>
      </c>
      <c r="G38" s="35"/>
      <c r="H38" s="35"/>
      <c r="I38" s="35"/>
      <c r="J38" s="4" t="s">
        <v>42</v>
      </c>
      <c r="K38" s="33">
        <v>34</v>
      </c>
      <c r="L38" s="14">
        <f>'RORO Capital'!J50+'RORO Oper Maint'!J48</f>
        <v>2862000</v>
      </c>
      <c r="M38" s="14">
        <f>'RORO Capital'!K50+'RORO Oper Maint'!K48</f>
        <v>4228000</v>
      </c>
      <c r="N38" s="14">
        <f>'RORO Capital'!L50+'RORO Oper Maint'!L48</f>
        <v>5059000</v>
      </c>
      <c r="O38" s="14">
        <f>'RORO Capital'!M50+'RORO Oper Maint'!M48</f>
        <v>27306000</v>
      </c>
      <c r="P38" s="35"/>
      <c r="Q38" s="35"/>
      <c r="R38" s="35"/>
      <c r="S38" s="35"/>
      <c r="T38" s="4" t="s">
        <v>42</v>
      </c>
      <c r="U38" s="33">
        <v>34</v>
      </c>
      <c r="V38" s="14">
        <f>'RORO Capital'!P50+'RORO Oper Maint'!Q48</f>
        <v>5030000</v>
      </c>
      <c r="W38" s="14">
        <f>'RORO Capital'!Q50+'RORO Oper Maint'!R48</f>
        <v>7186000</v>
      </c>
      <c r="X38" s="14">
        <f>'RORO Capital'!R50+'RORO Oper Maint'!S48</f>
        <v>10886000</v>
      </c>
      <c r="Y38" s="14">
        <f>'RORO Capital'!S50+'RORO Oper Maint'!T48</f>
        <v>29308000</v>
      </c>
      <c r="Z38" s="300"/>
      <c r="AA38" s="300"/>
      <c r="AB38" s="300"/>
      <c r="AC38" s="300"/>
    </row>
    <row r="39" spans="1:29" x14ac:dyDescent="0.25">
      <c r="A39" s="4" t="s">
        <v>42</v>
      </c>
      <c r="B39" s="33">
        <v>35</v>
      </c>
      <c r="C39" s="14">
        <f>'RORO Capital'!C51+'RORO Oper Maint'!C49</f>
        <v>4241000</v>
      </c>
      <c r="D39" s="14">
        <f>'RORO Capital'!D51+'RORO Oper Maint'!D49</f>
        <v>6181000</v>
      </c>
      <c r="E39" s="14">
        <f>'RORO Capital'!E51+'RORO Oper Maint'!E49</f>
        <v>8615000</v>
      </c>
      <c r="F39" s="14">
        <f>'RORO Capital'!F51+'RORO Oper Maint'!F49</f>
        <v>30897000</v>
      </c>
      <c r="G39" s="35"/>
      <c r="H39" s="35"/>
      <c r="I39" s="35"/>
      <c r="J39" s="4" t="s">
        <v>42</v>
      </c>
      <c r="K39" s="33">
        <v>35</v>
      </c>
      <c r="L39" s="14">
        <f>'RORO Capital'!J51+'RORO Oper Maint'!J49</f>
        <v>3073000</v>
      </c>
      <c r="M39" s="14">
        <f>'RORO Capital'!K51+'RORO Oper Maint'!K49</f>
        <v>4569000</v>
      </c>
      <c r="N39" s="14">
        <f>'RORO Capital'!L51+'RORO Oper Maint'!L49</f>
        <v>5451000</v>
      </c>
      <c r="O39" s="14">
        <f>'RORO Capital'!M51+'RORO Oper Maint'!M49</f>
        <v>29844000</v>
      </c>
      <c r="P39" s="35"/>
      <c r="Q39" s="35"/>
      <c r="R39" s="35"/>
      <c r="S39" s="35"/>
      <c r="T39" s="4" t="s">
        <v>42</v>
      </c>
      <c r="U39" s="33">
        <v>35</v>
      </c>
      <c r="V39" s="14">
        <f>'RORO Capital'!P51+'RORO Oper Maint'!Q49</f>
        <v>5409000</v>
      </c>
      <c r="W39" s="14">
        <f>'RORO Capital'!Q51+'RORO Oper Maint'!R49</f>
        <v>7792000</v>
      </c>
      <c r="X39" s="14">
        <f>'RORO Capital'!R51+'RORO Oper Maint'!S49</f>
        <v>11779000</v>
      </c>
      <c r="Y39" s="14">
        <f>'RORO Capital'!S51+'RORO Oper Maint'!T49</f>
        <v>31950000</v>
      </c>
      <c r="Z39" s="300"/>
      <c r="AA39" s="300"/>
      <c r="AB39" s="300"/>
      <c r="AC39" s="300"/>
    </row>
    <row r="40" spans="1:29" x14ac:dyDescent="0.25">
      <c r="A40" s="4" t="s">
        <v>42</v>
      </c>
      <c r="B40" s="33">
        <v>36</v>
      </c>
      <c r="C40" s="14">
        <f>'RORO Capital'!C52+'RORO Oper Maint'!C50</f>
        <v>4563000</v>
      </c>
      <c r="D40" s="14">
        <f>'RORO Capital'!D52+'RORO Oper Maint'!D50</f>
        <v>6700000</v>
      </c>
      <c r="E40" s="14">
        <f>'RORO Capital'!E52+'RORO Oper Maint'!E50</f>
        <v>9319000</v>
      </c>
      <c r="F40" s="14">
        <f>'RORO Capital'!F52+'RORO Oper Maint'!F50</f>
        <v>33740000</v>
      </c>
      <c r="G40" s="35"/>
      <c r="H40" s="35"/>
      <c r="I40" s="35"/>
      <c r="J40" s="4" t="s">
        <v>42</v>
      </c>
      <c r="K40" s="33">
        <v>36</v>
      </c>
      <c r="L40" s="14">
        <f>'RORO Capital'!J52+'RORO Oper Maint'!J50</f>
        <v>3303000</v>
      </c>
      <c r="M40" s="14">
        <f>'RORO Capital'!K52+'RORO Oper Maint'!K50</f>
        <v>4943000</v>
      </c>
      <c r="N40" s="14">
        <f>'RORO Capital'!L52+'RORO Oper Maint'!L50</f>
        <v>5880000</v>
      </c>
      <c r="O40" s="14">
        <f>'RORO Capital'!M52+'RORO Oper Maint'!M50</f>
        <v>32631000</v>
      </c>
      <c r="P40" s="35"/>
      <c r="Q40" s="35"/>
      <c r="R40" s="35"/>
      <c r="S40" s="35"/>
      <c r="T40" s="4" t="s">
        <v>42</v>
      </c>
      <c r="U40" s="33">
        <v>36</v>
      </c>
      <c r="V40" s="14">
        <f>'RORO Capital'!P52+'RORO Oper Maint'!Q50</f>
        <v>5823000</v>
      </c>
      <c r="W40" s="14">
        <f>'RORO Capital'!Q52+'RORO Oper Maint'!R50</f>
        <v>8456000</v>
      </c>
      <c r="X40" s="14">
        <f>'RORO Capital'!R52+'RORO Oper Maint'!S50</f>
        <v>12757000</v>
      </c>
      <c r="Y40" s="14">
        <f>'RORO Capital'!S52+'RORO Oper Maint'!T50</f>
        <v>34849000</v>
      </c>
      <c r="Z40" s="300"/>
      <c r="AA40" s="300"/>
      <c r="AB40" s="300"/>
      <c r="AC40" s="300"/>
    </row>
    <row r="41" spans="1:29" x14ac:dyDescent="0.25">
      <c r="A41" s="4" t="s">
        <v>42</v>
      </c>
      <c r="B41" s="33">
        <v>37</v>
      </c>
      <c r="C41" s="14">
        <f>'RORO Capital'!C53+'RORO Oper Maint'!C51</f>
        <v>4915000</v>
      </c>
      <c r="D41" s="14">
        <f>'RORO Capital'!D53+'RORO Oper Maint'!D51</f>
        <v>7268000</v>
      </c>
      <c r="E41" s="14">
        <f>'RORO Capital'!E53+'RORO Oper Maint'!E51</f>
        <v>10088000</v>
      </c>
      <c r="F41" s="14">
        <f>'RORO Capital'!F53+'RORO Oper Maint'!F51</f>
        <v>36861000</v>
      </c>
      <c r="G41" s="35"/>
      <c r="H41" s="35"/>
      <c r="I41" s="35"/>
      <c r="J41" s="4" t="s">
        <v>42</v>
      </c>
      <c r="K41" s="33">
        <v>37</v>
      </c>
      <c r="L41" s="14">
        <f>'RORO Capital'!J53+'RORO Oper Maint'!J51</f>
        <v>3555000</v>
      </c>
      <c r="M41" s="14">
        <f>'RORO Capital'!K53+'RORO Oper Maint'!K51</f>
        <v>5352000</v>
      </c>
      <c r="N41" s="14">
        <f>'RORO Capital'!L53+'RORO Oper Maint'!L51</f>
        <v>6350000</v>
      </c>
      <c r="O41" s="14">
        <f>'RORO Capital'!M53+'RORO Oper Maint'!M51</f>
        <v>35691000</v>
      </c>
      <c r="P41" s="35"/>
      <c r="Q41" s="35"/>
      <c r="R41" s="35"/>
      <c r="S41" s="35"/>
      <c r="T41" s="4" t="s">
        <v>42</v>
      </c>
      <c r="U41" s="33">
        <v>37</v>
      </c>
      <c r="V41" s="14">
        <f>'RORO Capital'!P53+'RORO Oper Maint'!Q51</f>
        <v>6276000</v>
      </c>
      <c r="W41" s="14">
        <f>'RORO Capital'!Q53+'RORO Oper Maint'!R51</f>
        <v>9184000</v>
      </c>
      <c r="X41" s="14">
        <f>'RORO Capital'!R53+'RORO Oper Maint'!S51</f>
        <v>13827000</v>
      </c>
      <c r="Y41" s="14">
        <f>'RORO Capital'!S53+'RORO Oper Maint'!T51</f>
        <v>38030000</v>
      </c>
      <c r="Z41" s="300"/>
      <c r="AA41" s="300"/>
      <c r="AB41" s="300"/>
      <c r="AC41" s="300"/>
    </row>
    <row r="42" spans="1:29" x14ac:dyDescent="0.25">
      <c r="A42" s="4" t="s">
        <v>42</v>
      </c>
      <c r="B42" s="33">
        <v>38</v>
      </c>
      <c r="C42" s="14">
        <f>'RORO Capital'!C54+'RORO Oper Maint'!C52</f>
        <v>5300000</v>
      </c>
      <c r="D42" s="14">
        <f>'RORO Capital'!D54+'RORO Oper Maint'!D52</f>
        <v>7891000</v>
      </c>
      <c r="E42" s="14">
        <f>'RORO Capital'!E54+'RORO Oper Maint'!E52</f>
        <v>10931000</v>
      </c>
      <c r="F42" s="14">
        <f>'RORO Capital'!F54+'RORO Oper Maint'!F52</f>
        <v>40286000</v>
      </c>
      <c r="G42" s="35"/>
      <c r="H42" s="35"/>
      <c r="I42" s="35"/>
      <c r="J42" s="4" t="s">
        <v>42</v>
      </c>
      <c r="K42" s="33">
        <v>38</v>
      </c>
      <c r="L42" s="14">
        <f>'RORO Capital'!J54+'RORO Oper Maint'!J52</f>
        <v>3831000</v>
      </c>
      <c r="M42" s="14">
        <f>'RORO Capital'!K54+'RORO Oper Maint'!K52</f>
        <v>5800000</v>
      </c>
      <c r="N42" s="14">
        <f>'RORO Capital'!L54+'RORO Oper Maint'!L52</f>
        <v>6863000</v>
      </c>
      <c r="O42" s="14">
        <f>'RORO Capital'!M54+'RORO Oper Maint'!M52</f>
        <v>39052000</v>
      </c>
      <c r="P42" s="35"/>
      <c r="Q42" s="35"/>
      <c r="R42" s="35"/>
      <c r="S42" s="35"/>
      <c r="T42" s="4" t="s">
        <v>42</v>
      </c>
      <c r="U42" s="33">
        <v>38</v>
      </c>
      <c r="V42" s="14">
        <f>'RORO Capital'!P54+'RORO Oper Maint'!Q52</f>
        <v>6770000</v>
      </c>
      <c r="W42" s="14">
        <f>'RORO Capital'!Q54+'RORO Oper Maint'!R52</f>
        <v>9981000</v>
      </c>
      <c r="X42" s="14">
        <f>'RORO Capital'!R54+'RORO Oper Maint'!S52</f>
        <v>14999000</v>
      </c>
      <c r="Y42" s="14">
        <f>'RORO Capital'!S54+'RORO Oper Maint'!T52</f>
        <v>41521000</v>
      </c>
      <c r="Z42" s="300"/>
      <c r="AA42" s="300"/>
      <c r="AB42" s="300"/>
      <c r="AC42" s="300"/>
    </row>
    <row r="43" spans="1:29" x14ac:dyDescent="0.25">
      <c r="A43" s="4" t="s">
        <v>42</v>
      </c>
      <c r="B43" s="33">
        <v>39</v>
      </c>
      <c r="C43" s="14">
        <f>'RORO Capital'!C55+'RORO Oper Maint'!C53</f>
        <v>5721000</v>
      </c>
      <c r="D43" s="14">
        <f>'RORO Capital'!D55+'RORO Oper Maint'!D53</f>
        <v>8573000</v>
      </c>
      <c r="E43" s="14">
        <f>'RORO Capital'!E55+'RORO Oper Maint'!E53</f>
        <v>11854000</v>
      </c>
      <c r="F43" s="14">
        <f>'RORO Capital'!F55+'RORO Oper Maint'!F53</f>
        <v>44048000</v>
      </c>
      <c r="G43" s="35"/>
      <c r="H43" s="35"/>
      <c r="I43" s="35"/>
      <c r="J43" s="4" t="s">
        <v>42</v>
      </c>
      <c r="K43" s="33">
        <v>39</v>
      </c>
      <c r="L43" s="14">
        <f>'RORO Capital'!J55+'RORO Oper Maint'!J53</f>
        <v>4132000</v>
      </c>
      <c r="M43" s="14">
        <f>'RORO Capital'!K55+'RORO Oper Maint'!K53</f>
        <v>6291000</v>
      </c>
      <c r="N43" s="14">
        <f>'RORO Capital'!L55+'RORO Oper Maint'!L53</f>
        <v>7424000</v>
      </c>
      <c r="O43" s="14">
        <f>'RORO Capital'!M55+'RORO Oper Maint'!M53</f>
        <v>42744000</v>
      </c>
      <c r="P43" s="35"/>
      <c r="Q43" s="35"/>
      <c r="R43" s="35"/>
      <c r="S43" s="35"/>
      <c r="T43" s="4" t="s">
        <v>42</v>
      </c>
      <c r="U43" s="33">
        <v>39</v>
      </c>
      <c r="V43" s="14">
        <f>'RORO Capital'!P55+'RORO Oper Maint'!Q53</f>
        <v>7310000</v>
      </c>
      <c r="W43" s="14">
        <f>'RORO Capital'!Q55+'RORO Oper Maint'!R53</f>
        <v>10855000</v>
      </c>
      <c r="X43" s="14">
        <f>'RORO Capital'!R55+'RORO Oper Maint'!S53</f>
        <v>16283000</v>
      </c>
      <c r="Y43" s="14">
        <f>'RORO Capital'!S55+'RORO Oper Maint'!T53</f>
        <v>45352000</v>
      </c>
      <c r="Z43" s="300"/>
      <c r="AA43" s="300"/>
      <c r="AB43" s="300"/>
      <c r="AC43" s="300"/>
    </row>
    <row r="44" spans="1:29" x14ac:dyDescent="0.25">
      <c r="A44" s="4" t="s">
        <v>42</v>
      </c>
      <c r="B44" s="33">
        <v>40</v>
      </c>
      <c r="C44" s="14">
        <f>'RORO Capital'!C56+'RORO Oper Maint'!C54</f>
        <v>6181000</v>
      </c>
      <c r="D44" s="14">
        <f>'RORO Capital'!D56+'RORO Oper Maint'!D54</f>
        <v>9322000</v>
      </c>
      <c r="E44" s="14">
        <f>'RORO Capital'!E56+'RORO Oper Maint'!E54</f>
        <v>12864000</v>
      </c>
      <c r="F44" s="14">
        <f>'RORO Capital'!F56+'RORO Oper Maint'!F54</f>
        <v>48179000</v>
      </c>
      <c r="G44" s="35"/>
      <c r="H44" s="35"/>
      <c r="I44" s="35"/>
      <c r="J44" s="4" t="s">
        <v>42</v>
      </c>
      <c r="K44" s="33">
        <v>40</v>
      </c>
      <c r="L44" s="14">
        <f>'RORO Capital'!J56+'RORO Oper Maint'!J54</f>
        <v>4461000</v>
      </c>
      <c r="M44" s="14">
        <f>'RORO Capital'!K56+'RORO Oper Maint'!K54</f>
        <v>6829000</v>
      </c>
      <c r="N44" s="14">
        <f>'RORO Capital'!L56+'RORO Oper Maint'!L54</f>
        <v>8039000</v>
      </c>
      <c r="O44" s="14">
        <f>'RORO Capital'!M56+'RORO Oper Maint'!M54</f>
        <v>46799000</v>
      </c>
      <c r="P44" s="35"/>
      <c r="Q44" s="35"/>
      <c r="R44" s="35"/>
      <c r="S44" s="35"/>
      <c r="T44" s="4" t="s">
        <v>42</v>
      </c>
      <c r="U44" s="33">
        <v>40</v>
      </c>
      <c r="V44" s="14">
        <f>'RORO Capital'!P56+'RORO Oper Maint'!Q54</f>
        <v>7901000</v>
      </c>
      <c r="W44" s="14">
        <f>'RORO Capital'!Q56+'RORO Oper Maint'!R54</f>
        <v>11814000</v>
      </c>
      <c r="X44" s="14">
        <f>'RORO Capital'!R56+'RORO Oper Maint'!S54</f>
        <v>17689000</v>
      </c>
      <c r="Y44" s="14">
        <f>'RORO Capital'!S56+'RORO Oper Maint'!T54</f>
        <v>49558000</v>
      </c>
      <c r="Z44" s="300"/>
      <c r="AA44" s="300"/>
      <c r="AB44" s="300"/>
      <c r="AC44" s="300"/>
    </row>
    <row r="45" spans="1:29" s="9" customFormat="1" x14ac:dyDescent="0.25">
      <c r="A45" s="428" t="s">
        <v>51</v>
      </c>
      <c r="B45" s="429"/>
      <c r="C45" s="46">
        <f>-1*'RORO Capital'!C8+'RORO Capital'!C13*40</f>
        <v>352616.32653061254</v>
      </c>
      <c r="D45" s="46">
        <f>-1*'RORO Capital'!D8+'RORO Capital'!D13*40</f>
        <v>386662.04081632663</v>
      </c>
      <c r="E45" s="46">
        <f>-1*'RORO Capital'!E8+'RORO Capital'!E13*40</f>
        <v>895051.02040816471</v>
      </c>
      <c r="F45" s="46">
        <f>-1*'RORO Capital'!F8+'RORO Capital'!F13*40</f>
        <v>1745518.3673469387</v>
      </c>
      <c r="G45" s="271"/>
      <c r="H45" s="271"/>
      <c r="I45" s="271"/>
      <c r="J45" s="428" t="s">
        <v>51</v>
      </c>
      <c r="K45" s="429"/>
      <c r="L45" s="46">
        <f>-1*'RORO Capital'!J8+'RORO Capital'!J13*40</f>
        <v>117538.77551020402</v>
      </c>
      <c r="M45" s="46">
        <f>-1*'RORO Capital'!K8+'RORO Capital'!K13*40</f>
        <v>236293.46938775526</v>
      </c>
      <c r="N45" s="46">
        <f>-1*'RORO Capital'!L8+'RORO Capital'!L13*40</f>
        <v>501228.5714285709</v>
      </c>
      <c r="O45" s="46">
        <f>-1*'RORO Capital'!M8+'RORO Capital'!M13*40</f>
        <v>1283469.3877551015</v>
      </c>
      <c r="P45" s="271"/>
      <c r="Q45" s="271"/>
      <c r="R45" s="271"/>
      <c r="S45" s="271"/>
      <c r="T45" s="428" t="s">
        <v>51</v>
      </c>
      <c r="U45" s="429"/>
      <c r="V45" s="46">
        <f>-1*'RORO Capital'!P8+'RORO Capital'!P13*40</f>
        <v>587693.87755102105</v>
      </c>
      <c r="W45" s="46">
        <f>-1*'RORO Capital'!Q8+'RORO Capital'!Q13*40</f>
        <v>537030.61224489845</v>
      </c>
      <c r="X45" s="46">
        <f>-1*'RORO Capital'!R8+'RORO Capital'!R13*40</f>
        <v>1288873.4693877548</v>
      </c>
      <c r="Y45" s="46">
        <f>-1*'RORO Capital'!S8+'RORO Capital'!S13*40</f>
        <v>2207567.346938774</v>
      </c>
      <c r="Z45" s="300"/>
      <c r="AA45" s="300"/>
      <c r="AB45" s="300"/>
      <c r="AC45" s="300"/>
    </row>
    <row r="46" spans="1:29" x14ac:dyDescent="0.25">
      <c r="Z46" s="271"/>
      <c r="AA46" s="271"/>
      <c r="AB46" s="271"/>
      <c r="AC46" s="271"/>
    </row>
    <row r="47" spans="1:29" x14ac:dyDescent="0.25">
      <c r="G47" s="9"/>
      <c r="H47" s="9"/>
      <c r="I47" s="9"/>
      <c r="P47" s="9"/>
      <c r="Q47" s="9"/>
      <c r="R47" s="9"/>
      <c r="S47" s="9"/>
      <c r="Z47" s="9"/>
      <c r="AA47" s="9"/>
      <c r="AB47" s="9"/>
      <c r="AC47" s="9"/>
    </row>
    <row r="48" spans="1:29" x14ac:dyDescent="0.25">
      <c r="A48" s="140" t="s">
        <v>155</v>
      </c>
      <c r="B48" s="141"/>
      <c r="C48" s="145">
        <f>ROUND(C4,-3)</f>
        <v>882000</v>
      </c>
      <c r="D48" s="145">
        <f t="shared" ref="D48:F48" si="0">ROUND(D4,-3)</f>
        <v>967000</v>
      </c>
      <c r="E48" s="145">
        <f t="shared" si="0"/>
        <v>2238000</v>
      </c>
      <c r="F48" s="145">
        <f t="shared" si="0"/>
        <v>4364000</v>
      </c>
      <c r="G48" s="168"/>
      <c r="H48" s="168"/>
      <c r="I48" s="168"/>
      <c r="J48" s="140" t="s">
        <v>155</v>
      </c>
      <c r="K48" s="141"/>
      <c r="L48" s="145">
        <f>ROUND(L4,-3)</f>
        <v>294000</v>
      </c>
      <c r="M48" s="145">
        <f t="shared" ref="M48:O48" si="1">ROUND(M4,-3)</f>
        <v>591000</v>
      </c>
      <c r="N48" s="145">
        <f t="shared" si="1"/>
        <v>1253000</v>
      </c>
      <c r="O48" s="145">
        <f t="shared" si="1"/>
        <v>3209000</v>
      </c>
      <c r="P48" s="168"/>
      <c r="Q48" s="168"/>
      <c r="R48" s="168"/>
      <c r="S48" s="168"/>
      <c r="T48" s="140" t="s">
        <v>155</v>
      </c>
      <c r="U48" s="141"/>
      <c r="V48" s="145">
        <f>ROUND(V4,-3)</f>
        <v>1469000</v>
      </c>
      <c r="W48" s="145">
        <f t="shared" ref="W48:Y48" si="2">ROUND(W4,-3)</f>
        <v>1343000</v>
      </c>
      <c r="X48" s="145">
        <f t="shared" si="2"/>
        <v>3222000</v>
      </c>
      <c r="Y48" s="145">
        <f t="shared" si="2"/>
        <v>5519000</v>
      </c>
      <c r="Z48" s="168"/>
      <c r="AA48" s="168"/>
      <c r="AB48" s="168"/>
      <c r="AC48" s="168"/>
    </row>
    <row r="49" spans="1:29" x14ac:dyDescent="0.25">
      <c r="A49" s="140" t="s">
        <v>154</v>
      </c>
      <c r="B49" s="141"/>
      <c r="C49" s="145">
        <f>ROUND(SUM('RORO Capital'!C17:C56),-3)</f>
        <v>6099000</v>
      </c>
      <c r="D49" s="145">
        <f>ROUND(SUM('RORO Capital'!D17:D56),-3)</f>
        <v>6685000</v>
      </c>
      <c r="E49" s="145">
        <f>ROUND(SUM('RORO Capital'!E17:E56),-3)</f>
        <v>15426000</v>
      </c>
      <c r="F49" s="145">
        <f>ROUND(SUM('RORO Capital'!F17:F56),-3)</f>
        <v>30049000</v>
      </c>
      <c r="G49" s="168"/>
      <c r="H49" s="168"/>
      <c r="I49" s="168"/>
      <c r="J49" s="140" t="s">
        <v>154</v>
      </c>
      <c r="K49" s="141"/>
      <c r="L49" s="145">
        <f>ROUND(SUM('RORO Capital'!J17:J56),-3)</f>
        <v>2057000</v>
      </c>
      <c r="M49" s="145">
        <f>ROUND(SUM('RORO Capital'!K17:K56),-3)</f>
        <v>4099000</v>
      </c>
      <c r="N49" s="145">
        <f>ROUND(SUM('RORO Capital'!L17:L56),-3)</f>
        <v>8655000</v>
      </c>
      <c r="O49" s="145">
        <f>ROUND(SUM('RORO Capital'!M17:M56),-3)</f>
        <v>22105000</v>
      </c>
      <c r="P49" s="168"/>
      <c r="Q49" s="168"/>
      <c r="R49" s="168"/>
      <c r="S49" s="168"/>
      <c r="T49" s="140" t="s">
        <v>154</v>
      </c>
      <c r="U49" s="141"/>
      <c r="V49" s="145">
        <f>ROUND(SUM('RORO Capital'!P17:P56),-3)</f>
        <v>10141000</v>
      </c>
      <c r="W49" s="145">
        <f>ROUND(SUM('RORO Capital'!Q17:Q56),-3)</f>
        <v>9270000</v>
      </c>
      <c r="X49" s="145">
        <f>ROUND(SUM('RORO Capital'!R17:R56),-3)</f>
        <v>22198000</v>
      </c>
      <c r="Y49" s="145">
        <f>ROUND(SUM('RORO Capital'!S17:S56),-3)</f>
        <v>37994000</v>
      </c>
      <c r="Z49" s="168"/>
      <c r="AA49" s="168"/>
      <c r="AB49" s="168"/>
      <c r="AC49" s="168"/>
    </row>
    <row r="50" spans="1:29" x14ac:dyDescent="0.25">
      <c r="A50" s="140" t="s">
        <v>146</v>
      </c>
      <c r="B50" s="141"/>
      <c r="C50" s="142"/>
      <c r="D50" s="142"/>
      <c r="E50" s="142"/>
      <c r="F50" s="142"/>
      <c r="G50" s="169"/>
      <c r="H50" s="169"/>
      <c r="I50" s="169"/>
      <c r="J50" s="140" t="s">
        <v>146</v>
      </c>
      <c r="K50" s="141"/>
      <c r="L50" s="142"/>
      <c r="M50" s="142"/>
      <c r="N50" s="142"/>
      <c r="O50" s="142"/>
      <c r="P50" s="169"/>
      <c r="Q50" s="169"/>
      <c r="R50" s="169"/>
      <c r="S50" s="169"/>
      <c r="T50" s="140" t="s">
        <v>146</v>
      </c>
      <c r="U50" s="141"/>
      <c r="V50" s="142"/>
      <c r="W50" s="142"/>
      <c r="X50" s="142"/>
      <c r="Y50" s="142"/>
      <c r="Z50" s="169"/>
      <c r="AA50" s="169"/>
      <c r="AB50" s="169"/>
      <c r="AC50" s="169"/>
    </row>
    <row r="51" spans="1:29" x14ac:dyDescent="0.25">
      <c r="A51" s="143" t="s">
        <v>141</v>
      </c>
      <c r="B51" s="141"/>
      <c r="C51" s="145">
        <f>ROUND(SUM('RORO Oper Maint'!C56:C96),-3)</f>
        <v>62965000</v>
      </c>
      <c r="D51" s="145">
        <f>ROUND(SUM('RORO Oper Maint'!D56:D96),-3)</f>
        <v>94622000</v>
      </c>
      <c r="E51" s="145">
        <f>ROUND(SUM('RORO Oper Maint'!E56:E96),-3)</f>
        <v>124502000</v>
      </c>
      <c r="F51" s="145">
        <f>ROUND(SUM('RORO Oper Maint'!F56:F96),-3)</f>
        <v>488295000</v>
      </c>
      <c r="G51" s="168"/>
      <c r="H51" s="168"/>
      <c r="I51" s="168"/>
      <c r="J51" s="143" t="s">
        <v>141</v>
      </c>
      <c r="K51" s="141"/>
      <c r="L51" s="145">
        <f>ROUND(SUM('RORO Oper Maint'!J71:J96),-3)</f>
        <v>43176000</v>
      </c>
      <c r="M51" s="145">
        <f>ROUND(SUM('RORO Oper Maint'!K71:K96),-3)</f>
        <v>64086000</v>
      </c>
      <c r="N51" s="145">
        <f>ROUND(SUM('RORO Oper Maint'!L71:L96),-3)</f>
        <v>72392000</v>
      </c>
      <c r="O51" s="145">
        <f>ROUND(SUM('RORO Oper Maint'!M71:M96),-3)</f>
        <v>449249000</v>
      </c>
      <c r="P51" s="168"/>
      <c r="Q51" s="168"/>
      <c r="R51" s="168"/>
      <c r="S51" s="168"/>
      <c r="T51" s="143" t="s">
        <v>141</v>
      </c>
      <c r="U51" s="141"/>
      <c r="V51" s="145">
        <f>ROUND(SUM('RORO Oper Maint'!Q71:Q96),-3)</f>
        <v>69768000</v>
      </c>
      <c r="W51" s="145">
        <f>ROUND(SUM('RORO Oper Maint'!R71:R96),-3)</f>
        <v>109152000</v>
      </c>
      <c r="X51" s="145">
        <f>ROUND(SUM('RORO Oper Maint'!S71:S96),-3)</f>
        <v>156112000</v>
      </c>
      <c r="Y51" s="145">
        <f>ROUND(SUM('RORO Oper Maint'!T71:T96),-3)</f>
        <v>461174000</v>
      </c>
      <c r="Z51" s="168"/>
      <c r="AA51" s="168"/>
      <c r="AB51" s="168"/>
      <c r="AC51" s="168"/>
    </row>
    <row r="52" spans="1:29" x14ac:dyDescent="0.25">
      <c r="A52" s="143" t="s">
        <v>147</v>
      </c>
      <c r="B52" s="141"/>
      <c r="C52" s="145">
        <f>ROUND(SUM('RORO Oper Maint'!C99:C139),-3)</f>
        <v>18589000</v>
      </c>
      <c r="D52" s="145">
        <f>ROUND(SUM('RORO Oper Maint'!D99:D139),-3)</f>
        <v>19485000</v>
      </c>
      <c r="E52" s="145">
        <f>ROUND(SUM('RORO Oper Maint'!E99:E139),-3)</f>
        <v>32854000</v>
      </c>
      <c r="F52" s="145">
        <f>ROUND(SUM('RORO Oper Maint'!F99:F139),-3)</f>
        <v>55219000</v>
      </c>
      <c r="G52" s="168"/>
      <c r="H52" s="168"/>
      <c r="I52" s="168"/>
      <c r="J52" s="143" t="s">
        <v>147</v>
      </c>
      <c r="K52" s="141"/>
      <c r="L52" s="145">
        <f>ROUND(SUM('RORO Oper Maint'!J99:J139),-3)</f>
        <v>12407000</v>
      </c>
      <c r="M52" s="145">
        <f>ROUND(SUM('RORO Oper Maint'!K99:K139),-3)</f>
        <v>15530000</v>
      </c>
      <c r="N52" s="145">
        <f>ROUND(SUM('RORO Oper Maint'!L99:L139),-3)</f>
        <v>22497000</v>
      </c>
      <c r="O52" s="145">
        <f>ROUND(SUM('RORO Oper Maint'!M99:M139),-3)</f>
        <v>43068000</v>
      </c>
      <c r="P52" s="168"/>
      <c r="Q52" s="168"/>
      <c r="R52" s="168"/>
      <c r="S52" s="168"/>
      <c r="T52" s="143" t="s">
        <v>147</v>
      </c>
      <c r="U52" s="141"/>
      <c r="V52" s="145">
        <f>ROUND(SUM('RORO Oper Maint'!Q99:Q139),-3)</f>
        <v>24771000</v>
      </c>
      <c r="W52" s="145">
        <f>ROUND(SUM('RORO Oper Maint'!R99:R139),-3)</f>
        <v>23439000</v>
      </c>
      <c r="X52" s="145">
        <f>ROUND(SUM('RORO Oper Maint'!S99:S139),-3)</f>
        <v>43210000</v>
      </c>
      <c r="Y52" s="145">
        <f>ROUND(SUM('RORO Oper Maint'!T99:T139),-3)</f>
        <v>67370000</v>
      </c>
      <c r="Z52" s="168"/>
      <c r="AA52" s="168"/>
      <c r="AB52" s="168"/>
      <c r="AC52" s="168"/>
    </row>
    <row r="53" spans="1:29" x14ac:dyDescent="0.25">
      <c r="A53" s="143" t="s">
        <v>148</v>
      </c>
      <c r="B53" s="141"/>
      <c r="C53" s="145">
        <f>ROUND(SUM('RORO Oper Maint'!C142:C182),-3)</f>
        <v>8293000</v>
      </c>
      <c r="D53" s="145">
        <f>ROUND(SUM('RORO Oper Maint'!D142:D182),-3)</f>
        <v>8807000</v>
      </c>
      <c r="E53" s="145">
        <f>ROUND(SUM('RORO Oper Maint'!E142:E182),-3)</f>
        <v>16484000</v>
      </c>
      <c r="F53" s="145">
        <f>ROUND(SUM('RORO Oper Maint'!F142:F182),-3)</f>
        <v>29326000</v>
      </c>
      <c r="G53" s="168"/>
      <c r="H53" s="168"/>
      <c r="I53" s="168"/>
      <c r="J53" s="143" t="s">
        <v>148</v>
      </c>
      <c r="K53" s="141"/>
      <c r="L53" s="145">
        <f>ROUND(SUM('RORO Oper Maint'!J142:J182),-3)</f>
        <v>4743000</v>
      </c>
      <c r="M53" s="145">
        <f>ROUND(SUM('RORO Oper Maint'!K142:K182),-3)</f>
        <v>6536000</v>
      </c>
      <c r="N53" s="145">
        <f>ROUND(SUM('RORO Oper Maint'!L142:L182),-3)</f>
        <v>10537000</v>
      </c>
      <c r="O53" s="145">
        <f>ROUND(SUM('RORO Oper Maint'!M142:M182),-3)</f>
        <v>22349000</v>
      </c>
      <c r="P53" s="168"/>
      <c r="Q53" s="168"/>
      <c r="R53" s="168"/>
      <c r="S53" s="168"/>
      <c r="T53" s="143" t="s">
        <v>148</v>
      </c>
      <c r="U53" s="141"/>
      <c r="V53" s="145">
        <f>ROUND(SUM('RORO Oper Maint'!Q142:Q182),-3)</f>
        <v>11843000</v>
      </c>
      <c r="W53" s="145">
        <f>ROUND(SUM('RORO Oper Maint'!R142:R182),-3)</f>
        <v>11078000</v>
      </c>
      <c r="X53" s="145">
        <f>ROUND(SUM('RORO Oper Maint'!S142:S182),-3)</f>
        <v>22431000</v>
      </c>
      <c r="Y53" s="145">
        <f>ROUND(SUM('RORO Oper Maint'!T142:T182),-3)</f>
        <v>36304000</v>
      </c>
      <c r="Z53" s="168"/>
      <c r="AA53" s="168"/>
      <c r="AB53" s="168"/>
      <c r="AC53" s="168"/>
    </row>
    <row r="54" spans="1:29" ht="25.5" x14ac:dyDescent="0.25">
      <c r="A54" s="148" t="s">
        <v>230</v>
      </c>
      <c r="B54" s="141"/>
      <c r="C54" s="142">
        <f>C48+C49+C51+C52+C53</f>
        <v>96828000</v>
      </c>
      <c r="D54" s="142">
        <f t="shared" ref="D54:F54" si="3">D48+D49+D51+D52+D53</f>
        <v>130566000</v>
      </c>
      <c r="E54" s="142">
        <f t="shared" si="3"/>
        <v>191504000</v>
      </c>
      <c r="F54" s="142">
        <f t="shared" si="3"/>
        <v>607253000</v>
      </c>
      <c r="G54" s="169"/>
      <c r="H54" s="169"/>
      <c r="I54" s="169"/>
      <c r="J54" s="148" t="s">
        <v>230</v>
      </c>
      <c r="K54" s="141"/>
      <c r="L54" s="142">
        <f>L48+L49+L51+L52+L53</f>
        <v>62677000</v>
      </c>
      <c r="M54" s="142">
        <f t="shared" ref="M54:O54" si="4">M48+M49+M51+M52+M53</f>
        <v>90842000</v>
      </c>
      <c r="N54" s="142">
        <f t="shared" si="4"/>
        <v>115334000</v>
      </c>
      <c r="O54" s="142">
        <f t="shared" si="4"/>
        <v>539980000</v>
      </c>
      <c r="P54" s="169"/>
      <c r="Q54" s="169"/>
      <c r="R54" s="169"/>
      <c r="S54" s="169"/>
      <c r="T54" s="148" t="s">
        <v>230</v>
      </c>
      <c r="U54" s="141"/>
      <c r="V54" s="142">
        <f>V48+V49+V51+V52+V53</f>
        <v>117992000</v>
      </c>
      <c r="W54" s="142">
        <f t="shared" ref="W54:Y54" si="5">W48+W49+W51+W52+W53</f>
        <v>154282000</v>
      </c>
      <c r="X54" s="142">
        <f t="shared" si="5"/>
        <v>247173000</v>
      </c>
      <c r="Y54" s="142">
        <f t="shared" si="5"/>
        <v>608361000</v>
      </c>
      <c r="Z54" s="169"/>
      <c r="AA54" s="169"/>
      <c r="AB54" s="169"/>
      <c r="AC54" s="169"/>
    </row>
    <row r="55" spans="1:29" x14ac:dyDescent="0.25">
      <c r="A55" s="146" t="s">
        <v>157</v>
      </c>
      <c r="C55" s="57">
        <f>ROUND(NPV('User Inputs'!$E12, C4:C43,C44-C45),-3)</f>
        <v>57691000</v>
      </c>
      <c r="D55" s="57">
        <f>ROUND(NPV('User Inputs'!$E12, D4:D43,D44-D45),-3)</f>
        <v>75961000</v>
      </c>
      <c r="E55" s="57">
        <f>ROUND(NPV('User Inputs'!$E12, E4:E43,E44-E45),-3)</f>
        <v>113383000</v>
      </c>
      <c r="F55" s="57">
        <f>ROUND(NPV('User Inputs'!$E12, F4:F43,F44-F45),-3)</f>
        <v>345025000</v>
      </c>
      <c r="G55" s="170"/>
      <c r="H55" s="170"/>
      <c r="I55" s="170"/>
      <c r="J55" s="146" t="s">
        <v>157</v>
      </c>
      <c r="L55" s="57">
        <f>ROUND(NPV('User Inputs'!$E12, L4:L43,L44-L45),-3)</f>
        <v>40265000</v>
      </c>
      <c r="M55" s="57">
        <f>ROUND(NPV('User Inputs'!$E12, M4:M43,M44-M45),-3)</f>
        <v>56729000</v>
      </c>
      <c r="N55" s="57">
        <f>ROUND(NPV('User Inputs'!$E12, N4:N43,N44-N45),-3)</f>
        <v>72897000</v>
      </c>
      <c r="O55" s="57">
        <f>ROUND(NPV('User Inputs'!$E12, O4:O43,O44-O45),-3)</f>
        <v>322399000</v>
      </c>
      <c r="P55" s="170"/>
      <c r="Q55" s="170"/>
      <c r="R55" s="170"/>
      <c r="S55" s="170"/>
      <c r="T55" s="146" t="s">
        <v>157</v>
      </c>
      <c r="V55" s="57">
        <f>ROUND(NPV('User Inputs'!$E12, V4:V43,V44-V45),-3)</f>
        <v>75121000</v>
      </c>
      <c r="W55" s="57">
        <f>ROUND(NPV('User Inputs'!$E12, W4:W43,W44-W45),-3)</f>
        <v>95192000</v>
      </c>
      <c r="X55" s="57">
        <f>ROUND(NPV('User Inputs'!$E12, X4:X43,X44-X45),-3)</f>
        <v>153861000</v>
      </c>
      <c r="Y55" s="57">
        <f>ROUND(NPV('User Inputs'!$E12, Y4:Y43,Y44-Y45),-3)</f>
        <v>367651000</v>
      </c>
      <c r="Z55" s="170"/>
      <c r="AA55" s="170"/>
      <c r="AB55" s="170"/>
      <c r="AC55" s="170"/>
    </row>
    <row r="56" spans="1:29" ht="31.5" customHeight="1" x14ac:dyDescent="0.25">
      <c r="A56" s="147" t="s">
        <v>138</v>
      </c>
      <c r="C56" s="119">
        <f>+C5/'User Inputs'!$B23</f>
        <v>7.2931688763147893</v>
      </c>
      <c r="D56" s="119">
        <f>+D5/'User Inputs'!$B23</f>
        <v>7.893380333201053</v>
      </c>
      <c r="E56" s="119">
        <f>+E5/'User Inputs'!$B23</f>
        <v>13.670237781357296</v>
      </c>
      <c r="F56" s="119">
        <f>+F5/'User Inputs'!$B23</f>
        <v>27.994749646614817</v>
      </c>
      <c r="G56" s="119"/>
      <c r="H56" s="119"/>
      <c r="I56" s="119"/>
      <c r="J56" s="147" t="s">
        <v>138</v>
      </c>
      <c r="L56" s="119">
        <f>+L5/'User Inputs'!$B23</f>
        <v>4.6998623916822613</v>
      </c>
      <c r="M56" s="119">
        <f>+M5/'User Inputs'!$B23</f>
        <v>5.9968386113456029</v>
      </c>
      <c r="N56" s="119">
        <f>+N5/'User Inputs'!$B23</f>
        <v>8.9866483171842599</v>
      </c>
      <c r="O56" s="119">
        <f>+O5/'User Inputs'!$B23</f>
        <v>23.242388625095714</v>
      </c>
      <c r="P56" s="171"/>
      <c r="Q56" s="171"/>
      <c r="R56" s="171"/>
      <c r="S56" s="171"/>
      <c r="T56" s="147" t="s">
        <v>138</v>
      </c>
      <c r="V56" s="119">
        <f>+V5/'User Inputs'!$B23</f>
        <v>9.8864753609473173</v>
      </c>
      <c r="W56" s="119">
        <f>+W5/'User Inputs'!$B23</f>
        <v>9.7970445621790105</v>
      </c>
      <c r="X56" s="119">
        <f>+X5/'User Inputs'!$B23</f>
        <v>18.34670473840783</v>
      </c>
      <c r="Y56" s="119">
        <f>+Y5/'User Inputs'!$B23</f>
        <v>32.739988161011418</v>
      </c>
      <c r="Z56" s="171"/>
      <c r="AA56" s="171"/>
      <c r="AB56" s="171"/>
      <c r="AC56" s="171"/>
    </row>
    <row r="57" spans="1:29" x14ac:dyDescent="0.25">
      <c r="P57" s="9"/>
      <c r="Q57" s="9"/>
      <c r="R57" s="9"/>
      <c r="S57" s="9"/>
    </row>
    <row r="58" spans="1:29" x14ac:dyDescent="0.25">
      <c r="P58" s="9"/>
      <c r="Q58" s="9"/>
      <c r="R58" s="9"/>
      <c r="S58" s="9"/>
    </row>
    <row r="65" ht="32.25" customHeight="1" x14ac:dyDescent="0.25"/>
    <row r="66" ht="25.5" customHeight="1" x14ac:dyDescent="0.25"/>
  </sheetData>
  <sheetProtection password="EF95" sheet="1" objects="1" scenarios="1"/>
  <mergeCells count="3">
    <mergeCell ref="A45:B45"/>
    <mergeCell ref="J45:K45"/>
    <mergeCell ref="T45:U45"/>
  </mergeCells>
  <pageMargins left="0.25" right="0.25" top="0.75" bottom="0.75" header="0.3" footer="0.3"/>
  <pageSetup orientation="landscape" r:id="rId1"/>
  <headerFooter>
    <oddHeader xml:space="preserve">&amp;CTotal Cost Years 1 to 15
</oddHeader>
    <oddFooter>&amp;C&amp;D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04"/>
  <sheetViews>
    <sheetView view="pageLayout" zoomScale="85" zoomScaleNormal="100" zoomScalePageLayoutView="85" workbookViewId="0"/>
  </sheetViews>
  <sheetFormatPr defaultRowHeight="15" x14ac:dyDescent="0.25"/>
  <cols>
    <col min="1" max="1" width="19.42578125" customWidth="1"/>
    <col min="2" max="2" width="14.140625" customWidth="1"/>
    <col min="3" max="3" width="19.5703125" customWidth="1"/>
    <col min="4" max="4" width="13.85546875" customWidth="1"/>
    <col min="5" max="5" width="15" customWidth="1"/>
    <col min="6" max="6" width="12.28515625" bestFit="1" customWidth="1"/>
    <col min="7" max="8" width="5.28515625" customWidth="1"/>
    <col min="9" max="9" width="6.7109375" bestFit="1" customWidth="1"/>
    <col min="10" max="10" width="18.85546875" customWidth="1"/>
    <col min="11" max="11" width="25.28515625" customWidth="1"/>
    <col min="12" max="16" width="20.85546875" customWidth="1"/>
    <col min="17" max="17" width="5" style="9" customWidth="1"/>
    <col min="18" max="18" width="5.140625" style="9" customWidth="1"/>
    <col min="19" max="19" width="25.7109375" customWidth="1"/>
    <col min="20" max="23" width="18.42578125" customWidth="1"/>
    <col min="24" max="25" width="13.28515625" style="9" customWidth="1"/>
    <col min="26" max="26" width="30.28515625" customWidth="1"/>
    <col min="27" max="30" width="17.140625" customWidth="1"/>
  </cols>
  <sheetData>
    <row r="1" spans="1:31" x14ac:dyDescent="0.25">
      <c r="K1" s="281" t="s">
        <v>281</v>
      </c>
    </row>
    <row r="2" spans="1:31" ht="24.75" x14ac:dyDescent="0.25">
      <c r="L2" s="194" t="str">
        <f>'RORO Service Overview'!B1</f>
        <v>&lt;100 Pax, &lt;10 Veh</v>
      </c>
      <c r="M2" s="194" t="str">
        <f>'RORO Service Overview'!C1</f>
        <v xml:space="preserve"> &lt;500 Pax, &lt;10 Veh</v>
      </c>
      <c r="N2" s="194" t="str">
        <f>'RORO Service Overview'!D1</f>
        <v>&lt;500 Pax, &lt;50 Veh</v>
      </c>
      <c r="O2" s="194" t="str">
        <f>'RORO Service Overview'!E1</f>
        <v>250-500 Pax, 45-100 Veh</v>
      </c>
      <c r="P2" s="282" t="s">
        <v>81</v>
      </c>
      <c r="Q2" s="310"/>
      <c r="R2" s="310"/>
      <c r="S2" s="115" t="s">
        <v>90</v>
      </c>
      <c r="T2" s="201" t="str">
        <f>L2</f>
        <v>&lt;100 Pax, &lt;10 Veh</v>
      </c>
      <c r="U2" s="201" t="str">
        <f>M2</f>
        <v xml:space="preserve"> &lt;500 Pax, &lt;10 Veh</v>
      </c>
      <c r="V2" s="201" t="str">
        <f>N2</f>
        <v>&lt;500 Pax, &lt;50 Veh</v>
      </c>
      <c r="W2" s="201" t="str">
        <f>O2</f>
        <v>250-500 Pax, 45-100 Veh</v>
      </c>
      <c r="X2" s="250"/>
      <c r="Y2" s="250"/>
      <c r="Z2" s="115" t="s">
        <v>91</v>
      </c>
      <c r="AA2" s="201" t="str">
        <f>T2</f>
        <v>&lt;100 Pax, &lt;10 Veh</v>
      </c>
      <c r="AB2" s="201" t="str">
        <f>U2</f>
        <v xml:space="preserve"> &lt;500 Pax, &lt;10 Veh</v>
      </c>
      <c r="AC2" s="201" t="str">
        <f>V2</f>
        <v>&lt;500 Pax, &lt;50 Veh</v>
      </c>
      <c r="AD2" s="201" t="str">
        <f>W2</f>
        <v>250-500 Pax, 45-100 Veh</v>
      </c>
    </row>
    <row r="3" spans="1:31" x14ac:dyDescent="0.25">
      <c r="K3" s="172" t="s">
        <v>212</v>
      </c>
      <c r="L3" s="45"/>
      <c r="M3" s="45"/>
      <c r="N3" s="45"/>
      <c r="O3" s="45"/>
      <c r="P3" s="283"/>
      <c r="Q3" s="255"/>
      <c r="R3" s="255"/>
      <c r="S3" s="172" t="s">
        <v>212</v>
      </c>
      <c r="T3" s="42"/>
      <c r="U3" s="42"/>
      <c r="V3" s="42"/>
      <c r="W3" s="42"/>
      <c r="X3" s="331"/>
      <c r="Y3" s="331"/>
      <c r="Z3" s="172" t="s">
        <v>212</v>
      </c>
      <c r="AA3" s="42"/>
      <c r="AB3" s="42"/>
      <c r="AC3" s="42"/>
      <c r="AD3" s="42"/>
    </row>
    <row r="4" spans="1:31" ht="24.75" x14ac:dyDescent="0.25">
      <c r="K4" s="289" t="s">
        <v>213</v>
      </c>
      <c r="L4" s="174">
        <f>IF('User Inputs'!$E16="Yes",'RORO Service Overview'!B11+1,'RORO Service Overview'!B11)</f>
        <v>5</v>
      </c>
      <c r="M4" s="174">
        <f>IF('User Inputs'!$E16="Yes",'RORO Service Overview'!C11+1,'RORO Service Overview'!C11)</f>
        <v>3</v>
      </c>
      <c r="N4" s="174">
        <f>IF('User Inputs'!$E16="Yes",'RORO Service Overview'!D11+1,'RORO Service Overview'!D11)</f>
        <v>3</v>
      </c>
      <c r="O4" s="174">
        <f>IF('User Inputs'!$E16="Yes",'RORO Service Overview'!E11+1,'RORO Service Overview'!E11)</f>
        <v>2</v>
      </c>
      <c r="P4" s="284">
        <f>SUM('Manual RORO'!B6:I6,'Manual RORO'!B4:I4)</f>
        <v>6</v>
      </c>
      <c r="Q4" s="311"/>
      <c r="R4" s="311"/>
      <c r="S4" s="289" t="s">
        <v>213</v>
      </c>
      <c r="T4" s="174"/>
      <c r="U4" s="174"/>
      <c r="V4" s="174"/>
      <c r="W4" s="174"/>
      <c r="X4" s="323"/>
      <c r="Y4" s="323"/>
      <c r="Z4" s="289" t="s">
        <v>213</v>
      </c>
      <c r="AA4" s="174"/>
      <c r="AB4" s="174"/>
      <c r="AC4" s="174"/>
      <c r="AD4" s="174"/>
      <c r="AE4" s="174"/>
    </row>
    <row r="5" spans="1:31" x14ac:dyDescent="0.25">
      <c r="K5" s="289" t="s">
        <v>76</v>
      </c>
      <c r="L5" s="174">
        <f>'RORO Service Overview'!B3</f>
        <v>8</v>
      </c>
      <c r="M5" s="174">
        <f>'RORO Service Overview'!C3</f>
        <v>9.6000000000000014</v>
      </c>
      <c r="N5" s="174">
        <f>'RORO Service Overview'!D3</f>
        <v>9.6000000000000014</v>
      </c>
      <c r="O5" s="174">
        <f>'RORO Service Overview'!E3</f>
        <v>32</v>
      </c>
      <c r="P5" s="435" t="s">
        <v>235</v>
      </c>
      <c r="Q5" s="312"/>
      <c r="R5" s="312"/>
      <c r="S5" s="289" t="s">
        <v>76</v>
      </c>
      <c r="T5" s="174"/>
      <c r="U5" s="174"/>
      <c r="V5" s="174"/>
      <c r="W5" s="174"/>
      <c r="X5" s="323"/>
      <c r="Y5" s="323"/>
      <c r="Z5" s="289" t="s">
        <v>76</v>
      </c>
      <c r="AA5" s="174"/>
      <c r="AB5" s="174"/>
      <c r="AC5" s="174"/>
      <c r="AD5" s="174"/>
      <c r="AE5" s="174"/>
    </row>
    <row r="6" spans="1:31" x14ac:dyDescent="0.25">
      <c r="K6" s="289" t="s">
        <v>8</v>
      </c>
      <c r="L6" s="174">
        <f>'RORO Service Overview'!B9</f>
        <v>73.5</v>
      </c>
      <c r="M6" s="174">
        <f>'RORO Service Overview'!C9</f>
        <v>69.749999999999986</v>
      </c>
      <c r="N6" s="174">
        <f>'RORO Service Overview'!D9</f>
        <v>69.749999999999986</v>
      </c>
      <c r="O6" s="174">
        <f>'RORO Service Overview'!E9</f>
        <v>56.55555555555555</v>
      </c>
      <c r="P6" s="436"/>
      <c r="Q6" s="312"/>
      <c r="R6" s="312"/>
      <c r="S6" s="289" t="s">
        <v>8</v>
      </c>
      <c r="T6" s="174"/>
      <c r="U6" s="174"/>
      <c r="V6" s="174"/>
      <c r="W6" s="174"/>
      <c r="X6" s="323"/>
      <c r="Y6" s="323"/>
      <c r="Z6" s="289" t="s">
        <v>8</v>
      </c>
      <c r="AA6" s="174"/>
      <c r="AB6" s="174"/>
      <c r="AC6" s="174"/>
      <c r="AD6" s="174"/>
      <c r="AE6" s="174"/>
    </row>
    <row r="7" spans="1:31" x14ac:dyDescent="0.25">
      <c r="K7" s="289" t="s">
        <v>209</v>
      </c>
      <c r="L7" s="174">
        <f>'RORO Service Overview'!B22</f>
        <v>18.375</v>
      </c>
      <c r="M7" s="174">
        <f>'RORO Service Overview'!C22</f>
        <v>34.874999999999993</v>
      </c>
      <c r="N7" s="174">
        <f>'RORO Service Overview'!D22</f>
        <v>34.874999999999993</v>
      </c>
      <c r="O7" s="174">
        <f>'RORO Service Overview'!E22</f>
        <v>56.55555555555555</v>
      </c>
      <c r="P7" s="436"/>
      <c r="Q7" s="312"/>
      <c r="R7" s="312"/>
      <c r="S7" s="289" t="s">
        <v>209</v>
      </c>
      <c r="T7" s="174"/>
      <c r="U7" s="174"/>
      <c r="V7" s="174"/>
      <c r="W7" s="174"/>
      <c r="X7" s="323"/>
      <c r="Y7" s="323"/>
      <c r="Z7" s="289" t="s">
        <v>209</v>
      </c>
      <c r="AA7" s="174"/>
      <c r="AB7" s="174"/>
      <c r="AC7" s="174"/>
      <c r="AD7" s="174"/>
      <c r="AE7" s="174"/>
    </row>
    <row r="8" spans="1:31" x14ac:dyDescent="0.25">
      <c r="K8" s="290" t="s">
        <v>210</v>
      </c>
      <c r="L8" s="174">
        <f>'RORO Service Overview'!B41</f>
        <v>73.5</v>
      </c>
      <c r="M8" s="174">
        <f>'RORO Service Overview'!C41</f>
        <v>69.749999999999986</v>
      </c>
      <c r="N8" s="174">
        <f>'RORO Service Overview'!D41</f>
        <v>69.749999999999986</v>
      </c>
      <c r="O8" s="174">
        <f>'RORO Service Overview'!E41</f>
        <v>56.55555555555555</v>
      </c>
      <c r="P8" s="436"/>
      <c r="Q8" s="312"/>
      <c r="R8" s="312"/>
      <c r="S8" s="290" t="s">
        <v>210</v>
      </c>
      <c r="T8" s="174"/>
      <c r="U8" s="174"/>
      <c r="V8" s="174"/>
      <c r="W8" s="174"/>
      <c r="X8" s="323"/>
      <c r="Y8" s="323"/>
      <c r="Z8" s="290" t="s">
        <v>210</v>
      </c>
      <c r="AA8" s="174"/>
      <c r="AB8" s="174"/>
      <c r="AC8" s="174"/>
      <c r="AD8" s="174"/>
      <c r="AE8" s="174"/>
    </row>
    <row r="9" spans="1:31" x14ac:dyDescent="0.25">
      <c r="K9" s="291" t="s">
        <v>168</v>
      </c>
      <c r="L9" s="174"/>
      <c r="M9" s="174"/>
      <c r="N9" s="174"/>
      <c r="O9" s="174"/>
      <c r="P9" s="436"/>
      <c r="Q9" s="313"/>
      <c r="R9" s="313"/>
      <c r="S9" s="291" t="s">
        <v>168</v>
      </c>
      <c r="T9" s="174"/>
      <c r="U9" s="174"/>
      <c r="V9" s="174"/>
      <c r="W9" s="174"/>
      <c r="X9" s="324"/>
      <c r="Y9" s="324"/>
      <c r="Z9" s="291" t="s">
        <v>168</v>
      </c>
      <c r="AA9" s="174"/>
      <c r="AB9" s="174"/>
      <c r="AC9" s="174"/>
      <c r="AD9" s="174"/>
      <c r="AE9" s="174"/>
    </row>
    <row r="10" spans="1:31" x14ac:dyDescent="0.25">
      <c r="K10" s="289" t="s">
        <v>78</v>
      </c>
      <c r="L10" s="175">
        <f>ROUND('RORO Capital'!C6,-4)</f>
        <v>2480000</v>
      </c>
      <c r="M10" s="175">
        <f>ROUND('RORO Capital'!D6,-4)</f>
        <v>4470000</v>
      </c>
      <c r="N10" s="175">
        <f>ROUND('RORO Capital'!E6,-4)</f>
        <v>10340000</v>
      </c>
      <c r="O10" s="175">
        <f>ROUND('RORO Capital'!F6,-4)</f>
        <v>28140000</v>
      </c>
      <c r="P10" s="437"/>
      <c r="Q10" s="314"/>
      <c r="R10" s="314"/>
      <c r="S10" s="289" t="s">
        <v>78</v>
      </c>
      <c r="T10" s="175">
        <f>ROUND('RORO Service Overview'!B6, -3)</f>
        <v>816000</v>
      </c>
      <c r="U10" s="175">
        <f>ROUND('RORO Service Overview'!C6, -3)</f>
        <v>2693000</v>
      </c>
      <c r="V10" s="175">
        <f>ROUND('RORO Service Overview'!D6, -3)</f>
        <v>5712000</v>
      </c>
      <c r="W10" s="175">
        <f>ROUND('RORO Service Overview'!E6, -3)</f>
        <v>20400000</v>
      </c>
      <c r="X10" s="325"/>
      <c r="Y10" s="325"/>
      <c r="Z10" s="289" t="s">
        <v>78</v>
      </c>
      <c r="AA10" s="174">
        <f>ROUND('RORO Service Overview'!B7,-3)</f>
        <v>4080000</v>
      </c>
      <c r="AB10" s="174">
        <f>ROUND('RORO Service Overview'!C7,-3)</f>
        <v>6120000</v>
      </c>
      <c r="AC10" s="174">
        <f>ROUND('RORO Service Overview'!D7,-3)</f>
        <v>14688000</v>
      </c>
      <c r="AD10" s="174">
        <f>ROUND('RORO Service Overview'!E7,-3)</f>
        <v>35088000</v>
      </c>
      <c r="AE10" s="174"/>
    </row>
    <row r="11" spans="1:31" x14ac:dyDescent="0.25">
      <c r="K11" s="296" t="s">
        <v>187</v>
      </c>
      <c r="L11" s="175">
        <f>ROUND('RORO Total Cost'!C4,-3)</f>
        <v>882000</v>
      </c>
      <c r="M11" s="175">
        <f>ROUND('RORO Total Cost'!D4,-3)</f>
        <v>967000</v>
      </c>
      <c r="N11" s="175">
        <f>ROUND('RORO Total Cost'!E4,-3)</f>
        <v>2238000</v>
      </c>
      <c r="O11" s="175">
        <f>ROUND('RORO Total Cost'!F4,-3)</f>
        <v>4364000</v>
      </c>
      <c r="P11" s="286">
        <f>'Manual Total RORO'!F12</f>
        <v>1671000</v>
      </c>
      <c r="Q11" s="315"/>
      <c r="R11" s="315"/>
      <c r="S11" s="296" t="s">
        <v>187</v>
      </c>
      <c r="T11" s="175">
        <f>'RORO Total Cost'!L4</f>
        <v>293846.93877551024</v>
      </c>
      <c r="U11" s="175">
        <f>'RORO Total Cost'!M4</f>
        <v>590733.67346938781</v>
      </c>
      <c r="V11" s="175">
        <f>'RORO Total Cost'!N4</f>
        <v>1253071.4285714286</v>
      </c>
      <c r="W11" s="175">
        <f>'RORO Total Cost'!O4</f>
        <v>3208673.4693877553</v>
      </c>
      <c r="X11" s="326"/>
      <c r="Y11" s="326"/>
      <c r="Z11" s="296" t="s">
        <v>187</v>
      </c>
      <c r="AA11" s="56">
        <f>'RORO Total Cost'!W4</f>
        <v>1342576.5306122452</v>
      </c>
      <c r="AB11" s="56">
        <f>'RORO Total Cost'!X4</f>
        <v>3222183.6734693879</v>
      </c>
      <c r="AC11" s="56">
        <f>'RORO Total Cost'!Y4</f>
        <v>5518918.3673469387</v>
      </c>
      <c r="AD11" s="56">
        <f>'RORO Total Cost'!Z4</f>
        <v>0</v>
      </c>
    </row>
    <row r="12" spans="1:31" x14ac:dyDescent="0.25">
      <c r="K12" s="296" t="s">
        <v>211</v>
      </c>
      <c r="L12" s="175">
        <f>ROUND('RORO Capital'!C12,-2)</f>
        <v>305000</v>
      </c>
      <c r="M12" s="175">
        <f>ROUND('RORO Capital'!D12,-2)</f>
        <v>334200</v>
      </c>
      <c r="N12" s="175">
        <f>ROUND('RORO Capital'!E12,-2)</f>
        <v>771300</v>
      </c>
      <c r="O12" s="175">
        <f>ROUND('RORO Capital'!F12,-2)</f>
        <v>1502500</v>
      </c>
      <c r="P12" s="286">
        <f>ROUND('Manual Capital RORO'!C15,-2)</f>
        <v>576500</v>
      </c>
      <c r="Q12" s="315"/>
      <c r="R12" s="315"/>
      <c r="S12" s="296" t="s">
        <v>211</v>
      </c>
      <c r="T12" s="175">
        <f>'RORO Capital'!J12</f>
        <v>102860.67979218948</v>
      </c>
      <c r="U12" s="175">
        <f>'RORO Capital'!K12</f>
        <v>204956.14103292266</v>
      </c>
      <c r="V12" s="175">
        <f>'RORO Capital'!L12</f>
        <v>432725.42373266991</v>
      </c>
      <c r="W12" s="175">
        <f>'RORO Capital'!M12</f>
        <v>1105231.362963438</v>
      </c>
      <c r="X12" s="326"/>
      <c r="Y12" s="326"/>
      <c r="Z12" s="296" t="s">
        <v>211</v>
      </c>
      <c r="AA12" s="56">
        <f>'RORO Capital'!W12</f>
        <v>0</v>
      </c>
      <c r="AB12" s="56">
        <f>'RORO Capital'!X12</f>
        <v>0</v>
      </c>
      <c r="AC12" s="56">
        <f>'RORO Capital'!Y12</f>
        <v>0</v>
      </c>
      <c r="AD12" s="56">
        <f>'RORO Capital'!Z12</f>
        <v>0</v>
      </c>
    </row>
    <row r="13" spans="1:31" x14ac:dyDescent="0.25">
      <c r="K13" s="53" t="s">
        <v>158</v>
      </c>
      <c r="L13" s="175">
        <f>'RORO Total Cost'!C36</f>
        <v>3428000</v>
      </c>
      <c r="M13" s="175">
        <f>'RORO Total Cost'!D36</f>
        <v>4879000</v>
      </c>
      <c r="N13" s="175">
        <f>'RORO Total Cost'!E36</f>
        <v>6846000</v>
      </c>
      <c r="O13" s="175">
        <f>'RORO Total Cost'!F36</f>
        <v>23795000</v>
      </c>
      <c r="P13" s="286">
        <f>'Manual Total'!F15</f>
        <v>30637000</v>
      </c>
      <c r="Q13" s="315"/>
      <c r="R13" s="315"/>
      <c r="S13" s="53" t="s">
        <v>158</v>
      </c>
      <c r="T13" s="56">
        <f>'RORO Total Cost'!M36</f>
        <v>3630000</v>
      </c>
      <c r="U13" s="56">
        <f>'RORO Total Cost'!N36</f>
        <v>4371000</v>
      </c>
      <c r="V13" s="56">
        <f>'RORO Total Cost'!O36</f>
        <v>22888000</v>
      </c>
      <c r="W13" s="56">
        <f>'RORO Total Cost'!P36</f>
        <v>0</v>
      </c>
      <c r="X13" s="315"/>
      <c r="Y13" s="315"/>
      <c r="Z13" s="53" t="s">
        <v>158</v>
      </c>
      <c r="AA13" s="56">
        <f>'RORO Total Cost'!W36</f>
        <v>6127000</v>
      </c>
      <c r="AB13" s="56">
        <f>'RORO Total Cost'!X36</f>
        <v>9322000</v>
      </c>
      <c r="AC13" s="56">
        <f>'RORO Total Cost'!Y36</f>
        <v>24701000</v>
      </c>
      <c r="AD13" s="56">
        <f>'RORO Total Cost'!Z36</f>
        <v>0</v>
      </c>
    </row>
    <row r="14" spans="1:31" x14ac:dyDescent="0.25">
      <c r="K14" s="179" t="s">
        <v>159</v>
      </c>
      <c r="L14" s="175">
        <f>'RORO Total Cost'!C37</f>
        <v>3676000</v>
      </c>
      <c r="M14" s="175">
        <f>'RORO Total Cost'!D37</f>
        <v>5274000</v>
      </c>
      <c r="N14" s="175">
        <f>'RORO Total Cost'!E37</f>
        <v>7384000</v>
      </c>
      <c r="O14" s="175">
        <f>'RORO Total Cost'!F37</f>
        <v>25946000</v>
      </c>
      <c r="P14" s="286">
        <f>'Manual Total'!F16</f>
        <v>12053000</v>
      </c>
      <c r="Q14" s="315"/>
      <c r="R14" s="315"/>
      <c r="S14" s="179" t="s">
        <v>159</v>
      </c>
      <c r="T14" s="56">
        <f>'RORO Total Cost'!M37</f>
        <v>3916000</v>
      </c>
      <c r="U14" s="56">
        <f>'RORO Total Cost'!N37</f>
        <v>4700000</v>
      </c>
      <c r="V14" s="56">
        <f>'RORO Total Cost'!O37</f>
        <v>24994000</v>
      </c>
      <c r="W14" s="56">
        <f>'RORO Total Cost'!P37</f>
        <v>0</v>
      </c>
      <c r="X14" s="315"/>
      <c r="Y14" s="315"/>
      <c r="Z14" s="179" t="s">
        <v>159</v>
      </c>
      <c r="AA14" s="56">
        <f>'RORO Total Cost'!W37</f>
        <v>6633000</v>
      </c>
      <c r="AB14" s="56">
        <f>'RORO Total Cost'!X37</f>
        <v>10069000</v>
      </c>
      <c r="AC14" s="56">
        <f>'RORO Total Cost'!Y37</f>
        <v>26899000</v>
      </c>
      <c r="AD14" s="56">
        <f>'RORO Total Cost'!Z37</f>
        <v>0</v>
      </c>
    </row>
    <row r="15" spans="1:31" ht="15.75" x14ac:dyDescent="0.25">
      <c r="A15" s="357" t="s">
        <v>282</v>
      </c>
      <c r="B15" s="358">
        <f>IF(B$36="Min",L4,IF(C$36="Min",M4,IF(D$36="Min",N4,IF(E$36="Min",O4,P4))))</f>
        <v>5</v>
      </c>
      <c r="C15" s="359" t="str">
        <f>IF(B$36="Min",L2,IF(C$36="Min",M2,IF(D$36="Min",N2,IF(E$36="Min",O2,P2))))</f>
        <v>&lt;100 Pax, &lt;10 Veh</v>
      </c>
      <c r="D15" s="359" t="s">
        <v>283</v>
      </c>
      <c r="F15" s="144" t="s">
        <v>289</v>
      </c>
      <c r="K15" s="53" t="s">
        <v>162</v>
      </c>
      <c r="L15" s="175">
        <f>'RORO Total Cost'!C38</f>
        <v>3946000</v>
      </c>
      <c r="M15" s="175">
        <f>'RORO Total Cost'!D38</f>
        <v>5707000</v>
      </c>
      <c r="N15" s="175">
        <f>'RORO Total Cost'!E38</f>
        <v>7972000</v>
      </c>
      <c r="O15" s="175">
        <f>'RORO Total Cost'!F38</f>
        <v>28307000</v>
      </c>
      <c r="P15" s="286">
        <f>'Manual Total'!F17</f>
        <v>2494000</v>
      </c>
      <c r="Q15" s="315"/>
      <c r="R15" s="315"/>
      <c r="S15" s="53" t="s">
        <v>162</v>
      </c>
      <c r="T15" s="56">
        <f>'RORO Total Cost'!M38</f>
        <v>4228000</v>
      </c>
      <c r="U15" s="56">
        <f>'RORO Total Cost'!N38</f>
        <v>5059000</v>
      </c>
      <c r="V15" s="56">
        <f>'RORO Total Cost'!O38</f>
        <v>27306000</v>
      </c>
      <c r="W15" s="56">
        <f>'RORO Total Cost'!P38</f>
        <v>0</v>
      </c>
      <c r="X15" s="315"/>
      <c r="Y15" s="315"/>
      <c r="Z15" s="53" t="s">
        <v>162</v>
      </c>
      <c r="AA15" s="56">
        <f>'RORO Total Cost'!W38</f>
        <v>7186000</v>
      </c>
      <c r="AB15" s="56">
        <f>'RORO Total Cost'!X38</f>
        <v>10886000</v>
      </c>
      <c r="AC15" s="56">
        <f>'RORO Total Cost'!Y38</f>
        <v>29308000</v>
      </c>
      <c r="AD15" s="56">
        <f>'RORO Total Cost'!Z38</f>
        <v>0</v>
      </c>
    </row>
    <row r="16" spans="1:31" ht="21" customHeight="1" x14ac:dyDescent="0.25">
      <c r="K16" s="293" t="s">
        <v>236</v>
      </c>
      <c r="L16" s="295">
        <f>ROUND('RORO Total Cost'!C54,-5)</f>
        <v>96800000</v>
      </c>
      <c r="M16" s="295">
        <f>ROUND('RORO Total Cost'!D54,-5)</f>
        <v>130600000</v>
      </c>
      <c r="N16" s="295">
        <f>ROUND('RORO Total Cost'!E54,-5)</f>
        <v>191500000</v>
      </c>
      <c r="O16" s="295">
        <f>ROUND('RORO Total Cost'!F54,-5)</f>
        <v>607300000</v>
      </c>
      <c r="P16" s="288">
        <f>ROUND('Manual Total RORO'!F18,-5)</f>
        <v>236000000</v>
      </c>
      <c r="Q16" s="316"/>
      <c r="R16" s="316"/>
      <c r="S16" s="293" t="s">
        <v>236</v>
      </c>
      <c r="T16" s="295">
        <f>ROUND('RORO Total Cost'!L54,-5)</f>
        <v>62700000</v>
      </c>
      <c r="U16" s="295">
        <f>ROUND('RORO Total Cost'!M54,-5)</f>
        <v>90800000</v>
      </c>
      <c r="V16" s="295">
        <f>ROUND('RORO Total Cost'!N54,-5)</f>
        <v>115300000</v>
      </c>
      <c r="W16" s="295">
        <f>ROUND('RORO Total Cost'!O54,-5)</f>
        <v>540000000</v>
      </c>
      <c r="X16" s="327"/>
      <c r="Y16" s="327"/>
      <c r="Z16" s="293" t="s">
        <v>236</v>
      </c>
      <c r="AA16" s="295">
        <f>ROUND('RORO Total Cost'!S54,-5)</f>
        <v>0</v>
      </c>
      <c r="AB16" s="295" t="e">
        <f>ROUND('RORO Total Cost'!T54,-5)</f>
        <v>#VALUE!</v>
      </c>
      <c r="AC16" s="295">
        <f>ROUND('RORO Total Cost'!U54,-5)</f>
        <v>0</v>
      </c>
      <c r="AD16" s="295">
        <f>ROUND('RORO Total Cost'!V54,-5)</f>
        <v>118000000</v>
      </c>
    </row>
    <row r="17" spans="11:30" ht="24.75" x14ac:dyDescent="0.25">
      <c r="K17" s="293" t="s">
        <v>231</v>
      </c>
      <c r="L17" s="294">
        <f>ROUND('RORO Total Cost'!C55,-5)</f>
        <v>57700000</v>
      </c>
      <c r="M17" s="294">
        <f>ROUND('RORO Total Cost'!D55,-5)</f>
        <v>76000000</v>
      </c>
      <c r="N17" s="294">
        <f>ROUND('RORO Total Cost'!E55,-5)</f>
        <v>113400000</v>
      </c>
      <c r="O17" s="294">
        <f>ROUND('RORO Total Cost'!F55,-5)</f>
        <v>345000000</v>
      </c>
      <c r="P17" s="287">
        <f>ROUND('Manual Total RORO'!F19,-5)</f>
        <v>136500000</v>
      </c>
      <c r="Q17" s="317"/>
      <c r="R17" s="317"/>
      <c r="S17" s="293" t="s">
        <v>231</v>
      </c>
      <c r="T17" s="294">
        <f>ROUND('RORO Total Cost'!L55,-5)</f>
        <v>40300000</v>
      </c>
      <c r="U17" s="294">
        <f>ROUND('RORO Total Cost'!M55,-5)</f>
        <v>56700000</v>
      </c>
      <c r="V17" s="294">
        <f>ROUND('RORO Total Cost'!N55,-5)</f>
        <v>72900000</v>
      </c>
      <c r="W17" s="294">
        <f>ROUND('RORO Total Cost'!O55,-5)</f>
        <v>322400000</v>
      </c>
      <c r="X17" s="328"/>
      <c r="Y17" s="328"/>
      <c r="Z17" s="293" t="s">
        <v>231</v>
      </c>
      <c r="AA17" s="139">
        <f>ROUND('RORO Total Cost'!W55,-5)</f>
        <v>95200000</v>
      </c>
      <c r="AB17" s="139">
        <f>ROUND('RORO Total Cost'!X55,-5)</f>
        <v>153900000</v>
      </c>
      <c r="AC17" s="139">
        <f>ROUND('RORO Total Cost'!Y55,-5)</f>
        <v>367700000</v>
      </c>
      <c r="AD17" s="139">
        <f>ROUND('RORO Total Cost'!Z55,-5)</f>
        <v>0</v>
      </c>
    </row>
    <row r="18" spans="11:30" x14ac:dyDescent="0.25">
      <c r="K18" s="351"/>
      <c r="L18" s="294"/>
      <c r="M18" s="294"/>
      <c r="N18" s="294"/>
      <c r="O18" s="294"/>
      <c r="P18" s="287"/>
      <c r="Q18" s="317"/>
      <c r="R18" s="317"/>
      <c r="S18" s="351"/>
      <c r="T18" s="294"/>
      <c r="U18" s="294"/>
      <c r="V18" s="294"/>
      <c r="W18" s="294"/>
      <c r="X18" s="328"/>
      <c r="Y18" s="328"/>
      <c r="Z18" s="351"/>
      <c r="AA18" s="139"/>
      <c r="AB18" s="139"/>
      <c r="AC18" s="139"/>
      <c r="AD18" s="139"/>
    </row>
    <row r="19" spans="11:30" ht="26.25" x14ac:dyDescent="0.25">
      <c r="K19" s="273" t="s">
        <v>232</v>
      </c>
      <c r="L19" s="274">
        <f>ROUND(SUM('RORO Oper Maint'!C14:C54),-5)</f>
        <v>89800000</v>
      </c>
      <c r="M19" s="274">
        <f>ROUND(SUM('RORO Oper Maint'!D14:D54),-5)</f>
        <v>122900000</v>
      </c>
      <c r="N19" s="274">
        <f>ROUND(SUM('RORO Oper Maint'!E14:E54),-5)</f>
        <v>173800000</v>
      </c>
      <c r="O19" s="274">
        <f>ROUND(SUM('RORO Oper Maint'!F14:F54),-5)</f>
        <v>572800000</v>
      </c>
      <c r="P19" s="286">
        <f>ROUND('Manual Total RORO'!F26,-5)</f>
        <v>222800000</v>
      </c>
      <c r="Q19" s="318"/>
      <c r="R19" s="318"/>
      <c r="S19" s="273" t="s">
        <v>232</v>
      </c>
      <c r="T19" s="274">
        <f>ROUND(SUM('RORO Oper Maint'!J14:J54),-5)</f>
        <v>65900000</v>
      </c>
      <c r="U19" s="274">
        <f>ROUND(SUM('RORO Oper Maint'!K14:K54),-5)</f>
        <v>92600000</v>
      </c>
      <c r="V19" s="274">
        <f>ROUND(SUM('RORO Oper Maint'!L14:L54),-5)</f>
        <v>112800000</v>
      </c>
      <c r="W19" s="274">
        <f>ROUND(SUM('RORO Oper Maint'!M14:M54),-5)</f>
        <v>547400000</v>
      </c>
      <c r="X19" s="332"/>
      <c r="Y19" s="332"/>
      <c r="Z19" s="273" t="s">
        <v>232</v>
      </c>
      <c r="AA19" s="274">
        <f>ROUND(SUM('RORO Oper Maint'!Q14:Q54),-5)</f>
        <v>113800000</v>
      </c>
      <c r="AB19" s="274">
        <f>ROUND(SUM('RORO Oper Maint'!R14:R54),-5)</f>
        <v>153200000</v>
      </c>
      <c r="AC19" s="274">
        <f>ROUND(SUM('RORO Oper Maint'!S14:S54),-5)</f>
        <v>234800000</v>
      </c>
      <c r="AD19" s="274">
        <f>ROUND(SUM('RORO Oper Maint'!T14:T54),-5)</f>
        <v>598300000</v>
      </c>
    </row>
    <row r="20" spans="11:30" ht="26.25" x14ac:dyDescent="0.25">
      <c r="K20" s="275" t="s">
        <v>233</v>
      </c>
      <c r="L20" s="276">
        <f>ROUND(SUM('RORO Capital'!C16:C56),-5)</f>
        <v>7000000</v>
      </c>
      <c r="M20" s="276">
        <f>ROUND(SUM('RORO Capital'!D16:D56),-5)</f>
        <v>7700000</v>
      </c>
      <c r="N20" s="276">
        <f>ROUND(SUM('RORO Capital'!E16:E56),-5)</f>
        <v>17700000</v>
      </c>
      <c r="O20" s="276">
        <f>ROUND(SUM('RORO Capital'!F16:F56),-5)</f>
        <v>34400000</v>
      </c>
      <c r="P20" s="286">
        <f>ROUND('Manual Total RORO'!F27,-5)</f>
        <v>13200000</v>
      </c>
      <c r="Q20" s="318"/>
      <c r="R20" s="318"/>
      <c r="S20" s="275" t="s">
        <v>233</v>
      </c>
      <c r="T20" s="276">
        <f>ROUND(SUM('RORO Capital'!J16:J56),-5)</f>
        <v>2400000</v>
      </c>
      <c r="U20" s="276">
        <f>ROUND(SUM('RORO Capital'!K16:K56),-5)</f>
        <v>4700000</v>
      </c>
      <c r="V20" s="276">
        <f>ROUND(SUM('RORO Capital'!L16:L56),-5)</f>
        <v>9900000</v>
      </c>
      <c r="W20" s="276">
        <f>ROUND(SUM('RORO Capital'!M16:M56),-5)</f>
        <v>25300000</v>
      </c>
      <c r="X20" s="332"/>
      <c r="Y20" s="332"/>
      <c r="Z20" s="275" t="s">
        <v>233</v>
      </c>
      <c r="AA20" s="276">
        <f>ROUND(SUM('RORO Capital'!P16:P56),-5)</f>
        <v>11600000</v>
      </c>
      <c r="AB20" s="276">
        <f>ROUND(SUM('RORO Capital'!Q16:Q56),-5)</f>
        <v>10600000</v>
      </c>
      <c r="AC20" s="276">
        <f>ROUND(SUM('RORO Capital'!R16:R56),-5)</f>
        <v>25400000</v>
      </c>
      <c r="AD20" s="276">
        <f>ROUND(SUM('RORO Capital'!S16:S56),-5)</f>
        <v>43500000</v>
      </c>
    </row>
    <row r="21" spans="11:30" ht="26.25" x14ac:dyDescent="0.25">
      <c r="K21" s="277" t="s">
        <v>54</v>
      </c>
      <c r="L21" s="278">
        <f>'RORO Oper Maint'!C11</f>
        <v>630.70175438596493</v>
      </c>
      <c r="M21" s="278">
        <f>'RORO Oper Maint'!D11</f>
        <v>678.9473684210526</v>
      </c>
      <c r="N21" s="278">
        <f>'RORO Oper Maint'!E11</f>
        <v>1007.0175438596491</v>
      </c>
      <c r="O21" s="278">
        <f>'RORO Oper Maint'!F11</f>
        <v>2129.8245614035086</v>
      </c>
      <c r="P21" s="286">
        <f>'Manual Total RORO'!F24</f>
        <v>1147.3684210526317</v>
      </c>
      <c r="Q21" s="318"/>
      <c r="R21" s="318"/>
      <c r="S21" s="277" t="s">
        <v>54</v>
      </c>
      <c r="T21" s="278">
        <f>'RORO Oper Maint'!J11</f>
        <v>488.59649122807019</v>
      </c>
      <c r="U21" s="278">
        <f>'RORO Oper Maint'!K11</f>
        <v>558.77192982456143</v>
      </c>
      <c r="V21" s="278">
        <f>'RORO Oper Maint'!L11</f>
        <v>727.19298245614038</v>
      </c>
      <c r="W21" s="278">
        <f>'RORO Oper Maint'!M11</f>
        <v>1892.9824561403509</v>
      </c>
      <c r="X21" s="333"/>
      <c r="Y21" s="333"/>
      <c r="Z21" s="277" t="s">
        <v>54</v>
      </c>
      <c r="AA21" s="278">
        <f>'RORO Oper Maint'!Q11</f>
        <v>772.80701754385962</v>
      </c>
      <c r="AB21" s="278">
        <f>'RORO Oper Maint'!R11</f>
        <v>800</v>
      </c>
      <c r="AC21" s="278">
        <f>'RORO Oper Maint'!S11</f>
        <v>1285.9649122807018</v>
      </c>
      <c r="AD21" s="278">
        <f>'RORO Oper Maint'!T11</f>
        <v>2365.7894736842104</v>
      </c>
    </row>
    <row r="22" spans="11:30" ht="26.25" x14ac:dyDescent="0.25">
      <c r="K22" s="279" t="s">
        <v>99</v>
      </c>
      <c r="L22" s="280">
        <f>'RORO Capital'!C17/'RORO Service Overview'!$B13</f>
        <v>267.50957038122499</v>
      </c>
      <c r="M22" s="280">
        <f>'RORO Capital'!D17/'RORO Service Overview'!$B13</f>
        <v>293.1847357731823</v>
      </c>
      <c r="N22" s="280">
        <f>'RORO Capital'!E17/'RORO Service Overview'!$B13</f>
        <v>676.58016184435462</v>
      </c>
      <c r="O22" s="280">
        <f>'RORO Capital'!F17/'RORO Service Overview'!$B13</f>
        <v>1317.9498687585269</v>
      </c>
      <c r="P22" s="286">
        <f>'Manual Total RORO'!F25</f>
        <v>362.57927307430936</v>
      </c>
      <c r="Q22" s="318"/>
      <c r="R22" s="318"/>
      <c r="S22" s="279" t="s">
        <v>99</v>
      </c>
      <c r="T22" s="280">
        <f>'RORO Capital'!J17/'RORO Service Overview'!$B13</f>
        <v>90.228666484376731</v>
      </c>
      <c r="U22" s="280">
        <f>'RORO Capital'!K17/'RORO Service Overview'!$B13</f>
        <v>179.78608862537075</v>
      </c>
      <c r="V22" s="280">
        <f>'RORO Capital'!L17/'RORO Service Overview'!$B13</f>
        <v>379.58370502865779</v>
      </c>
      <c r="W22" s="280">
        <f>'RORO Capital'!M17/'RORO Service Overview'!$B13</f>
        <v>969.5011955819632</v>
      </c>
      <c r="X22" s="333"/>
      <c r="Y22" s="333"/>
      <c r="Z22" s="279" t="s">
        <v>99</v>
      </c>
      <c r="AA22" s="280">
        <f>'RORO Capital'!P17/'RORO Service Overview'!$B13</f>
        <v>444.79047427807319</v>
      </c>
      <c r="AB22" s="280">
        <f>'RORO Capital'!Q17/'RORO Service Overview'!$B13</f>
        <v>406.58338292099393</v>
      </c>
      <c r="AC22" s="280">
        <f>'RORO Capital'!R17/'RORO Service Overview'!$B13</f>
        <v>973.57661866005162</v>
      </c>
      <c r="AD22" s="280">
        <f>'RORO Capital'!S17/'RORO Service Overview'!$B13</f>
        <v>1666.3985419350904</v>
      </c>
    </row>
    <row r="23" spans="11:30" ht="24.75" x14ac:dyDescent="0.25">
      <c r="K23" s="289" t="s">
        <v>139</v>
      </c>
      <c r="L23" s="292">
        <f>'RORO Total Cost'!C5/'User Inputs'!$B23</f>
        <v>7.2931688763147893</v>
      </c>
      <c r="M23" s="292">
        <f>'RORO Total Cost'!D5/'User Inputs'!$B23</f>
        <v>7.893380333201053</v>
      </c>
      <c r="N23" s="292">
        <f>'RORO Total Cost'!E5/'User Inputs'!$B23</f>
        <v>13.670237781357296</v>
      </c>
      <c r="O23" s="292">
        <f>'RORO Total Cost'!F5/'User Inputs'!$B23</f>
        <v>27.994749646614817</v>
      </c>
      <c r="P23" s="285">
        <f>'Manual Total RORO'!F20</f>
        <v>13.422372109602222</v>
      </c>
      <c r="Q23" s="319"/>
      <c r="R23" s="319"/>
      <c r="S23" s="289" t="s">
        <v>139</v>
      </c>
      <c r="T23" s="292">
        <f>'RORO Total Cost'!L5/'User Inputs'!$B23</f>
        <v>4.6998623916822613</v>
      </c>
      <c r="U23" s="292">
        <f>'RORO Total Cost'!M5/'User Inputs'!$B23</f>
        <v>5.9968386113456029</v>
      </c>
      <c r="V23" s="292">
        <f>'RORO Total Cost'!N5/'User Inputs'!$B23</f>
        <v>8.9866483171842599</v>
      </c>
      <c r="W23" s="292">
        <f>'RORO Total Cost'!O5/'User Inputs'!$B23</f>
        <v>23.242388625095714</v>
      </c>
      <c r="X23" s="329"/>
      <c r="Y23" s="329"/>
      <c r="Z23" s="289" t="s">
        <v>139</v>
      </c>
      <c r="AA23" s="292">
        <f>'RORO Total Cost'!V5/'User Inputs'!$B23</f>
        <v>9.8864753609473173</v>
      </c>
      <c r="AB23" s="292">
        <f>'RORO Total Cost'!W5/'User Inputs'!$B23</f>
        <v>9.7970445621790105</v>
      </c>
      <c r="AC23" s="292">
        <f>'RORO Total Cost'!X5/'User Inputs'!$B23</f>
        <v>18.34670473840783</v>
      </c>
      <c r="AD23" s="292">
        <f>'RORO Total Cost'!Y5/'User Inputs'!$B23</f>
        <v>32.739988161011418</v>
      </c>
    </row>
    <row r="24" spans="11:30" x14ac:dyDescent="0.25">
      <c r="K24" s="289" t="s">
        <v>140</v>
      </c>
      <c r="L24" s="175">
        <f>'RORO Total Cost'!C5/'RORO Service Overview'!B14</f>
        <v>334.62774844267858</v>
      </c>
      <c r="M24" s="175">
        <f>'RORO Total Cost'!D5/'RORO Service Overview'!C14</f>
        <v>697.00037659209295</v>
      </c>
      <c r="N24" s="175">
        <f>'RORO Total Cost'!E5/'RORO Service Overview'!D14</f>
        <v>1207.1077889953235</v>
      </c>
      <c r="O24" s="175">
        <f>'RORO Total Cost'!F5/'RORO Service Overview'!E14</f>
        <v>3447.7744301620355</v>
      </c>
      <c r="P24" s="286">
        <f>('Manual Total RORO'!F24+'Manual Total RORO'!F25)/SUM('Manual RORO'!B39:E39)</f>
        <v>0.4748263189078431</v>
      </c>
      <c r="Q24" s="320"/>
      <c r="R24" s="320"/>
      <c r="S24" s="289" t="s">
        <v>140</v>
      </c>
      <c r="T24" s="175">
        <f>'RORO Total Cost'!L5/'RORO Service Overview'!B14</f>
        <v>215.64074503012728</v>
      </c>
      <c r="U24" s="175">
        <f>'RORO Total Cost'!M5/'RORO Service Overview'!C14</f>
        <v>529.53216417164947</v>
      </c>
      <c r="V24" s="175">
        <f>'RORO Total Cost'!N5/'RORO Service Overview'!D14</f>
        <v>793.53800234759126</v>
      </c>
      <c r="W24" s="175">
        <f>'RORO Total Cost'!O5/'RORO Service Overview'!E14</f>
        <v>2862.4836517223139</v>
      </c>
      <c r="X24" s="325"/>
      <c r="Y24" s="325"/>
      <c r="Z24" s="289" t="s">
        <v>140</v>
      </c>
      <c r="AA24" s="175">
        <f>'RORO Total Cost'!V5/'RORO Service Overview'!B14</f>
        <v>453.61475185522988</v>
      </c>
      <c r="AB24" s="175">
        <f>'RORO Total Cost'!W5/'RORO Service Overview'!C14</f>
        <v>865.09751983014667</v>
      </c>
      <c r="AC24" s="175">
        <f>'RORO Total Cost'!X5/'RORO Service Overview'!D14</f>
        <v>1620.048644825446</v>
      </c>
      <c r="AD24" s="175">
        <f>'RORO Total Cost'!Y5/'RORO Service Overview'!E14</f>
        <v>4032.188015619301</v>
      </c>
    </row>
    <row r="25" spans="11:30" ht="24.75" x14ac:dyDescent="0.25">
      <c r="K25" s="53" t="s">
        <v>234</v>
      </c>
      <c r="L25" s="175">
        <f>ROUND('RORO Total Cost'!C45,-3)</f>
        <v>353000</v>
      </c>
      <c r="M25" s="175">
        <f>ROUND('RORO Total Cost'!D45,-3)</f>
        <v>387000</v>
      </c>
      <c r="N25" s="175">
        <f>ROUND('RORO Total Cost'!E45,-3)</f>
        <v>895000</v>
      </c>
      <c r="O25" s="175">
        <f>ROUND('RORO Total Cost'!F45,-3)</f>
        <v>1746000</v>
      </c>
      <c r="P25" s="286">
        <f>ROUND('Manual Total RORO'!C46,-3)</f>
        <v>668000</v>
      </c>
      <c r="Q25" s="315"/>
      <c r="R25" s="315"/>
      <c r="S25" s="53" t="s">
        <v>234</v>
      </c>
      <c r="T25" s="175">
        <f>ROUND('RORO Total Cost'!L45,-3)</f>
        <v>118000</v>
      </c>
      <c r="U25" s="175">
        <f>ROUND('RORO Total Cost'!M45,-3)</f>
        <v>236000</v>
      </c>
      <c r="V25" s="175">
        <f>ROUND('RORO Total Cost'!N45,-3)</f>
        <v>501000</v>
      </c>
      <c r="W25" s="175">
        <f>ROUND('RORO Total Cost'!O45,-3)</f>
        <v>1283000</v>
      </c>
      <c r="X25" s="330"/>
      <c r="Y25" s="330"/>
      <c r="Z25" s="53" t="s">
        <v>234</v>
      </c>
      <c r="AA25" s="175">
        <f>ROUND('RORO Total Cost'!V45,-3)</f>
        <v>588000</v>
      </c>
      <c r="AB25" s="175">
        <f>ROUND('RORO Total Cost'!W45,-3)</f>
        <v>537000</v>
      </c>
      <c r="AC25" s="175">
        <f>ROUND('RORO Total Cost'!X45,-3)</f>
        <v>1289000</v>
      </c>
      <c r="AD25" s="175">
        <f>ROUND('RORO Total Cost'!Y45,-3)</f>
        <v>2208000</v>
      </c>
    </row>
    <row r="26" spans="11:30" ht="11.25" customHeight="1" x14ac:dyDescent="0.25">
      <c r="L26" s="116"/>
      <c r="M26" s="116"/>
      <c r="N26" s="116"/>
      <c r="O26" s="116"/>
      <c r="P26" s="176"/>
      <c r="Q26" s="309"/>
      <c r="R26" s="309"/>
    </row>
    <row r="27" spans="11:30" ht="23.25" customHeight="1" x14ac:dyDescent="0.25">
      <c r="K27" s="339" t="s">
        <v>80</v>
      </c>
      <c r="L27" s="343">
        <f>L7</f>
        <v>18.375</v>
      </c>
      <c r="M27" s="343">
        <f>M7</f>
        <v>34.874999999999993</v>
      </c>
      <c r="N27" s="343">
        <f>N7</f>
        <v>34.874999999999993</v>
      </c>
      <c r="O27" s="343">
        <f>O7</f>
        <v>56.55555555555555</v>
      </c>
      <c r="P27" s="335"/>
      <c r="Q27" s="309"/>
      <c r="R27" s="309"/>
    </row>
    <row r="28" spans="11:30" ht="16.5" customHeight="1" x14ac:dyDescent="0.25">
      <c r="Q28" s="321"/>
      <c r="R28" s="321"/>
    </row>
    <row r="29" spans="11:30" ht="15" customHeight="1" x14ac:dyDescent="0.25">
      <c r="Q29" s="321"/>
      <c r="R29" s="321"/>
    </row>
    <row r="30" spans="11:30" hidden="1" x14ac:dyDescent="0.25">
      <c r="Q30" s="321"/>
      <c r="R30" s="321"/>
    </row>
    <row r="31" spans="11:30" hidden="1" x14ac:dyDescent="0.25">
      <c r="Q31" s="321"/>
      <c r="R31" s="321"/>
    </row>
    <row r="32" spans="11:30" hidden="1" x14ac:dyDescent="0.25">
      <c r="Q32" s="321"/>
      <c r="R32" s="321"/>
    </row>
    <row r="33" spans="1:18" x14ac:dyDescent="0.25">
      <c r="Q33" s="321"/>
      <c r="R33" s="321"/>
    </row>
    <row r="34" spans="1:18" ht="23.25" customHeight="1" x14ac:dyDescent="0.25">
      <c r="A34" s="144" t="s">
        <v>238</v>
      </c>
      <c r="Q34" s="321"/>
      <c r="R34" s="321"/>
    </row>
    <row r="35" spans="1:18" ht="24.75" x14ac:dyDescent="0.25">
      <c r="A35" s="334"/>
      <c r="B35" s="352" t="str">
        <f>L2</f>
        <v>&lt;100 Pax, &lt;10 Veh</v>
      </c>
      <c r="C35" s="352" t="str">
        <f>M2</f>
        <v xml:space="preserve"> &lt;500 Pax, &lt;10 Veh</v>
      </c>
      <c r="D35" s="352" t="str">
        <f>N2</f>
        <v>&lt;500 Pax, &lt;50 Veh</v>
      </c>
      <c r="E35" s="352" t="str">
        <f>O2</f>
        <v>250-500 Pax, 45-100 Veh</v>
      </c>
      <c r="F35" s="353" t="s">
        <v>81</v>
      </c>
      <c r="Q35" s="321"/>
      <c r="R35" s="321"/>
    </row>
    <row r="36" spans="1:18" x14ac:dyDescent="0.25">
      <c r="A36" s="361" t="s">
        <v>290</v>
      </c>
      <c r="B36" s="356" t="str">
        <f>IF(L16=MIN($L16:$P16),"Min"," ")</f>
        <v>Min</v>
      </c>
      <c r="C36" s="356" t="str">
        <f>IF(M16=MIN($L16:$P16),"Min"," ")</f>
        <v xml:space="preserve"> </v>
      </c>
      <c r="D36" s="356" t="str">
        <f>IF(N16=MIN($L16:$P16),"Min"," ")</f>
        <v xml:space="preserve"> </v>
      </c>
      <c r="E36" s="356" t="str">
        <f>IF(O16=MIN($L16:$P16),"Min"," ")</f>
        <v xml:space="preserve"> </v>
      </c>
      <c r="F36" s="356" t="str">
        <f>IF(P16=MIN($L16:$P16),"Min"," ")</f>
        <v xml:space="preserve"> </v>
      </c>
      <c r="G36" s="354"/>
      <c r="H36" s="354"/>
      <c r="Q36" s="321"/>
      <c r="R36" s="321"/>
    </row>
    <row r="37" spans="1:18" x14ac:dyDescent="0.25">
      <c r="A37" s="336" t="str">
        <f>K21</f>
        <v>Operating cost per operating hour (Year 1)</v>
      </c>
      <c r="B37" s="334"/>
      <c r="C37" s="334"/>
      <c r="D37" s="334"/>
      <c r="E37" s="334"/>
      <c r="F37" s="335"/>
      <c r="G37" s="325"/>
      <c r="H37" s="325"/>
      <c r="Q37" s="321"/>
      <c r="R37" s="321"/>
    </row>
    <row r="38" spans="1:18" x14ac:dyDescent="0.25">
      <c r="A38" s="337" t="s">
        <v>95</v>
      </c>
      <c r="B38" s="338">
        <f>L21</f>
        <v>630.70175438596493</v>
      </c>
      <c r="C38" s="338">
        <f>M21</f>
        <v>678.9473684210526</v>
      </c>
      <c r="D38" s="338">
        <f>N21</f>
        <v>1007.0175438596491</v>
      </c>
      <c r="E38" s="338">
        <f>O21</f>
        <v>2129.8245614035086</v>
      </c>
      <c r="F38" s="335">
        <f>'Manual Total RORO'!F24</f>
        <v>1147.3684210526317</v>
      </c>
      <c r="G38" s="325"/>
      <c r="H38" s="325"/>
      <c r="Q38" s="321"/>
      <c r="R38" s="321"/>
    </row>
    <row r="39" spans="1:18" x14ac:dyDescent="0.25">
      <c r="A39" s="337" t="s">
        <v>96</v>
      </c>
      <c r="B39" s="338">
        <f>B38-T21</f>
        <v>142.10526315789474</v>
      </c>
      <c r="C39" s="338">
        <f>C38-U21</f>
        <v>120.17543859649118</v>
      </c>
      <c r="D39" s="338">
        <f>D38-V21</f>
        <v>279.82456140350871</v>
      </c>
      <c r="E39" s="338">
        <f>E38-W21</f>
        <v>236.84210526315769</v>
      </c>
      <c r="F39" s="335"/>
      <c r="G39" s="325"/>
      <c r="H39" s="325"/>
      <c r="Q39" s="321"/>
      <c r="R39" s="321"/>
    </row>
    <row r="40" spans="1:18" x14ac:dyDescent="0.25">
      <c r="A40" s="337" t="s">
        <v>97</v>
      </c>
      <c r="B40" s="338">
        <f>AA21-B38</f>
        <v>142.10526315789468</v>
      </c>
      <c r="C40" s="338">
        <f>AB21-C38</f>
        <v>121.0526315789474</v>
      </c>
      <c r="D40" s="338">
        <f>AC21-D38</f>
        <v>278.94736842105272</v>
      </c>
      <c r="E40" s="338">
        <f>AD21-E38</f>
        <v>235.96491228070181</v>
      </c>
      <c r="F40" s="335"/>
      <c r="G40" s="325"/>
      <c r="H40" s="325"/>
      <c r="Q40" s="321"/>
      <c r="R40" s="321"/>
    </row>
    <row r="41" spans="1:18" x14ac:dyDescent="0.25">
      <c r="A41" s="339" t="str">
        <f>K22</f>
        <v>Capital cost per operating hour (Year 1)</v>
      </c>
      <c r="B41" s="340"/>
      <c r="C41" s="340"/>
      <c r="D41" s="340"/>
      <c r="E41" s="340"/>
      <c r="F41" s="335"/>
      <c r="G41" s="325"/>
      <c r="H41" s="325"/>
      <c r="Q41" s="321"/>
      <c r="R41" s="321"/>
    </row>
    <row r="42" spans="1:18" x14ac:dyDescent="0.25">
      <c r="A42" s="337" t="s">
        <v>95</v>
      </c>
      <c r="B42" s="338">
        <f>L22</f>
        <v>267.50957038122499</v>
      </c>
      <c r="C42" s="338">
        <f>M22</f>
        <v>293.1847357731823</v>
      </c>
      <c r="D42" s="338">
        <f>N22</f>
        <v>676.58016184435462</v>
      </c>
      <c r="E42" s="338">
        <f>O22</f>
        <v>1317.9498687585269</v>
      </c>
      <c r="F42" s="335">
        <f>'Manual Total RORO'!F25</f>
        <v>362.57927307430936</v>
      </c>
      <c r="G42" s="325"/>
      <c r="H42" s="325"/>
      <c r="Q42" s="321"/>
      <c r="R42" s="321"/>
    </row>
    <row r="43" spans="1:18" x14ac:dyDescent="0.25">
      <c r="A43" s="337" t="s">
        <v>96</v>
      </c>
      <c r="B43" s="338">
        <f>(L22-T22)</f>
        <v>177.28090389684826</v>
      </c>
      <c r="C43" s="338">
        <f>(M22-U22)</f>
        <v>113.39864714781154</v>
      </c>
      <c r="D43" s="338">
        <f>(N22-V22)</f>
        <v>296.99645681569683</v>
      </c>
      <c r="E43" s="338">
        <f>(O22-W22)</f>
        <v>348.44867317656372</v>
      </c>
      <c r="F43" s="335"/>
      <c r="G43" s="325"/>
      <c r="H43" s="325"/>
      <c r="Q43" s="321"/>
      <c r="R43" s="321"/>
    </row>
    <row r="44" spans="1:18" x14ac:dyDescent="0.25">
      <c r="A44" s="337" t="s">
        <v>97</v>
      </c>
      <c r="B44" s="338">
        <f>(AA22-L22)</f>
        <v>177.2809038968482</v>
      </c>
      <c r="C44" s="338">
        <f>(AB22-M22)</f>
        <v>113.39864714781163</v>
      </c>
      <c r="D44" s="338">
        <f>(AC22-N22)</f>
        <v>296.996456815697</v>
      </c>
      <c r="E44" s="338">
        <f>(AD22-O22)</f>
        <v>348.44867317656349</v>
      </c>
      <c r="F44" s="335"/>
      <c r="G44" s="325"/>
      <c r="H44" s="325"/>
      <c r="Q44" s="321"/>
      <c r="R44" s="321"/>
    </row>
    <row r="45" spans="1:18" ht="6.75" customHeight="1" x14ac:dyDescent="0.25">
      <c r="A45" s="334"/>
      <c r="B45" s="340"/>
      <c r="C45" s="340"/>
      <c r="D45" s="340"/>
      <c r="E45" s="340"/>
      <c r="F45" s="335"/>
      <c r="G45" s="325"/>
      <c r="H45" s="325"/>
      <c r="Q45" s="321"/>
      <c r="R45" s="321"/>
    </row>
    <row r="46" spans="1:18" x14ac:dyDescent="0.25">
      <c r="A46" s="339" t="s">
        <v>227</v>
      </c>
      <c r="B46" s="334"/>
      <c r="C46" s="334"/>
      <c r="D46" s="334"/>
      <c r="E46" s="334"/>
      <c r="F46" s="335"/>
      <c r="G46" s="325"/>
      <c r="H46" s="325"/>
      <c r="Q46" s="321"/>
      <c r="R46" s="321"/>
    </row>
    <row r="47" spans="1:18" x14ac:dyDescent="0.25">
      <c r="A47" s="337" t="s">
        <v>95</v>
      </c>
      <c r="B47" s="338">
        <f>L19/1</f>
        <v>89800000</v>
      </c>
      <c r="C47" s="338">
        <f>M19/1</f>
        <v>122900000</v>
      </c>
      <c r="D47" s="338">
        <f>N19/1</f>
        <v>173800000</v>
      </c>
      <c r="E47" s="338">
        <f>O19/1</f>
        <v>572800000</v>
      </c>
      <c r="F47" s="335">
        <f>'Manual Total RORO'!F26/1</f>
        <v>222825000</v>
      </c>
      <c r="G47" s="325"/>
      <c r="H47" s="325"/>
      <c r="Q47" s="321"/>
      <c r="R47" s="321"/>
    </row>
    <row r="48" spans="1:18" x14ac:dyDescent="0.25">
      <c r="A48" s="337" t="s">
        <v>96</v>
      </c>
      <c r="B48" s="338">
        <f>(L19-T19)/1</f>
        <v>23900000</v>
      </c>
      <c r="C48" s="338">
        <f>(M19-U19)/1</f>
        <v>30300000</v>
      </c>
      <c r="D48" s="338">
        <f>(N19-V19)/1</f>
        <v>61000000</v>
      </c>
      <c r="E48" s="338">
        <f>(O19-W19)/1</f>
        <v>25400000</v>
      </c>
      <c r="F48" s="335"/>
      <c r="G48" s="325"/>
      <c r="H48" s="325"/>
      <c r="Q48" s="321"/>
      <c r="R48" s="321"/>
    </row>
    <row r="49" spans="1:18" x14ac:dyDescent="0.25">
      <c r="A49" s="337" t="s">
        <v>97</v>
      </c>
      <c r="B49" s="338">
        <f>(AA19-L19)/1</f>
        <v>24000000</v>
      </c>
      <c r="C49" s="338">
        <f>(AB19-M19)/1</f>
        <v>30300000</v>
      </c>
      <c r="D49" s="338">
        <f>(AC19-N19)/1</f>
        <v>61000000</v>
      </c>
      <c r="E49" s="338">
        <f>(AD19-O19)/1</f>
        <v>25500000</v>
      </c>
      <c r="F49" s="335"/>
      <c r="G49" s="325"/>
      <c r="H49" s="325"/>
      <c r="Q49" s="321"/>
      <c r="R49" s="321"/>
    </row>
    <row r="50" spans="1:18" x14ac:dyDescent="0.25">
      <c r="A50" s="339" t="s">
        <v>228</v>
      </c>
      <c r="B50" s="340"/>
      <c r="C50" s="340"/>
      <c r="D50" s="340"/>
      <c r="E50" s="340"/>
      <c r="F50" s="335"/>
      <c r="G50" s="325"/>
      <c r="H50" s="325"/>
      <c r="Q50" s="321"/>
      <c r="R50" s="321"/>
    </row>
    <row r="51" spans="1:18" x14ac:dyDescent="0.25">
      <c r="A51" s="337" t="s">
        <v>95</v>
      </c>
      <c r="B51" s="338">
        <f>L20/1</f>
        <v>7000000</v>
      </c>
      <c r="C51" s="338">
        <f>M20/1</f>
        <v>7700000</v>
      </c>
      <c r="D51" s="338">
        <f>N20/1</f>
        <v>17700000</v>
      </c>
      <c r="E51" s="338">
        <f>O20/1</f>
        <v>34400000</v>
      </c>
      <c r="F51" s="335">
        <f>'Manual Total RORO'!F27/1</f>
        <v>13201182.146758799</v>
      </c>
      <c r="G51" s="325"/>
      <c r="H51" s="325"/>
      <c r="Q51" s="321"/>
      <c r="R51" s="321"/>
    </row>
    <row r="52" spans="1:18" x14ac:dyDescent="0.25">
      <c r="A52" s="337" t="s">
        <v>96</v>
      </c>
      <c r="B52" s="338">
        <f>(L20-T20)/1</f>
        <v>4600000</v>
      </c>
      <c r="C52" s="338">
        <f>(M20-U20)/1</f>
        <v>3000000</v>
      </c>
      <c r="D52" s="338">
        <f>(N20-V20)/1</f>
        <v>7800000</v>
      </c>
      <c r="E52" s="338">
        <f>(O20-W20)/1</f>
        <v>9100000</v>
      </c>
      <c r="F52" s="335"/>
      <c r="G52" s="325"/>
      <c r="H52" s="325"/>
      <c r="Q52" s="321"/>
      <c r="R52" s="321"/>
    </row>
    <row r="53" spans="1:18" x14ac:dyDescent="0.25">
      <c r="A53" s="337" t="s">
        <v>97</v>
      </c>
      <c r="B53" s="338">
        <f>(AA20-L20)/1</f>
        <v>4600000</v>
      </c>
      <c r="C53" s="338">
        <f>(AB20-M20)/1</f>
        <v>2900000</v>
      </c>
      <c r="D53" s="338">
        <f>(AC20-N20)/1</f>
        <v>7700000</v>
      </c>
      <c r="E53" s="338">
        <f>(AD20-O20)/1</f>
        <v>9100000</v>
      </c>
      <c r="F53" s="335"/>
      <c r="G53" s="325"/>
      <c r="H53" s="325"/>
      <c r="Q53" s="321"/>
      <c r="R53" s="321"/>
    </row>
    <row r="54" spans="1:18" ht="8.25" customHeight="1" x14ac:dyDescent="0.25">
      <c r="A54" s="334"/>
      <c r="B54" s="340"/>
      <c r="C54" s="340"/>
      <c r="D54" s="340"/>
      <c r="E54" s="340"/>
      <c r="F54" s="335"/>
      <c r="G54" s="325"/>
      <c r="H54" s="325"/>
      <c r="K54" s="334"/>
      <c r="L54" s="334"/>
      <c r="M54" s="334"/>
      <c r="N54" s="334"/>
      <c r="O54" s="334"/>
      <c r="P54" s="334"/>
    </row>
    <row r="55" spans="1:18" x14ac:dyDescent="0.25">
      <c r="A55" s="339" t="s">
        <v>101</v>
      </c>
      <c r="B55" s="341">
        <f>+B38+B42</f>
        <v>898.21132476718992</v>
      </c>
      <c r="C55" s="341">
        <f t="shared" ref="C55:E55" si="0">+C38+C42</f>
        <v>972.1321041942349</v>
      </c>
      <c r="D55" s="341">
        <f t="shared" si="0"/>
        <v>1683.5977057040036</v>
      </c>
      <c r="E55" s="341">
        <f t="shared" si="0"/>
        <v>3447.7744301620355</v>
      </c>
      <c r="F55" s="335">
        <f>'Manual Total RORO'!F28</f>
        <v>1509.9476941269411</v>
      </c>
      <c r="G55" s="325"/>
      <c r="H55" s="325"/>
      <c r="L55" s="117"/>
      <c r="M55" s="117"/>
      <c r="N55" s="117"/>
      <c r="O55" s="117"/>
      <c r="P55" s="117"/>
      <c r="Q55" s="322"/>
      <c r="R55" s="322"/>
    </row>
    <row r="56" spans="1:18" x14ac:dyDescent="0.25">
      <c r="A56" s="337" t="s">
        <v>102</v>
      </c>
      <c r="B56" s="342">
        <f>B39+B43</f>
        <v>319.386167054743</v>
      </c>
      <c r="C56" s="342">
        <f>C39+C43</f>
        <v>233.57408574430272</v>
      </c>
      <c r="D56" s="342">
        <f t="shared" ref="D56:E57" si="1">D39+D43</f>
        <v>576.8210182192056</v>
      </c>
      <c r="E56" s="342">
        <f t="shared" si="1"/>
        <v>585.29077843972141</v>
      </c>
      <c r="F56" s="335"/>
      <c r="G56" s="325"/>
      <c r="H56" s="325"/>
    </row>
    <row r="57" spans="1:18" x14ac:dyDescent="0.25">
      <c r="A57" s="337" t="s">
        <v>97</v>
      </c>
      <c r="B57" s="342">
        <f t="shared" ref="B57:C57" si="2">B40+B44</f>
        <v>319.38616705474288</v>
      </c>
      <c r="C57" s="342">
        <f t="shared" si="2"/>
        <v>234.45127872675903</v>
      </c>
      <c r="D57" s="342">
        <f t="shared" si="1"/>
        <v>575.94382523674972</v>
      </c>
      <c r="E57" s="342">
        <f t="shared" si="1"/>
        <v>584.4135854572653</v>
      </c>
      <c r="F57" s="335"/>
      <c r="G57" s="325"/>
      <c r="H57" s="325"/>
    </row>
    <row r="58" spans="1:18" ht="5.25" customHeight="1" x14ac:dyDescent="0.25">
      <c r="A58" s="337"/>
      <c r="B58" s="342"/>
      <c r="C58" s="342"/>
      <c r="D58" s="342"/>
      <c r="E58" s="342"/>
      <c r="F58" s="335"/>
      <c r="G58" s="325"/>
      <c r="H58" s="325"/>
    </row>
    <row r="59" spans="1:18" x14ac:dyDescent="0.25">
      <c r="A59" s="339" t="s">
        <v>229</v>
      </c>
      <c r="B59" s="341">
        <f>B47+B51</f>
        <v>96800000</v>
      </c>
      <c r="C59" s="341">
        <f t="shared" ref="C59:E61" si="3">C47+C51</f>
        <v>130600000</v>
      </c>
      <c r="D59" s="341">
        <f t="shared" si="3"/>
        <v>191500000</v>
      </c>
      <c r="E59" s="341">
        <f t="shared" si="3"/>
        <v>607200000</v>
      </c>
      <c r="F59" s="335">
        <f>F47+F51</f>
        <v>236026182.14675879</v>
      </c>
      <c r="G59" s="325"/>
      <c r="H59" s="325"/>
    </row>
    <row r="60" spans="1:18" x14ac:dyDescent="0.25">
      <c r="A60" s="337" t="s">
        <v>102</v>
      </c>
      <c r="B60" s="342">
        <f t="shared" ref="B60:B61" si="4">B48+B52</f>
        <v>28500000</v>
      </c>
      <c r="C60" s="342">
        <f t="shared" si="3"/>
        <v>33300000</v>
      </c>
      <c r="D60" s="342">
        <f t="shared" si="3"/>
        <v>68800000</v>
      </c>
      <c r="E60" s="342">
        <f t="shared" si="3"/>
        <v>34500000</v>
      </c>
      <c r="F60" s="335"/>
      <c r="G60" s="325"/>
      <c r="H60" s="325"/>
    </row>
    <row r="61" spans="1:18" x14ac:dyDescent="0.25">
      <c r="A61" s="337" t="s">
        <v>97</v>
      </c>
      <c r="B61" s="338">
        <f t="shared" si="4"/>
        <v>28600000</v>
      </c>
      <c r="C61" s="338">
        <f t="shared" si="3"/>
        <v>33200000</v>
      </c>
      <c r="D61" s="338">
        <f t="shared" si="3"/>
        <v>68700000</v>
      </c>
      <c r="E61" s="338">
        <f t="shared" si="3"/>
        <v>34600000</v>
      </c>
      <c r="F61" s="335"/>
      <c r="G61" s="325"/>
      <c r="H61" s="325"/>
    </row>
    <row r="62" spans="1:18" ht="9" customHeight="1" x14ac:dyDescent="0.25">
      <c r="A62" s="334"/>
      <c r="B62" s="334"/>
      <c r="C62" s="334"/>
      <c r="D62" s="334"/>
      <c r="E62" s="334"/>
      <c r="F62" s="335"/>
      <c r="G62" s="325"/>
      <c r="H62" s="325"/>
    </row>
    <row r="63" spans="1:18" x14ac:dyDescent="0.25">
      <c r="B63" t="s">
        <v>288</v>
      </c>
      <c r="C63" t="s">
        <v>280</v>
      </c>
    </row>
    <row r="64" spans="1:18" x14ac:dyDescent="0.25">
      <c r="A64" s="11" t="s">
        <v>239</v>
      </c>
      <c r="B64" s="355">
        <f>IF(B$36="Min",'RORO Capital'!C16,IF(C$36="Min",'RORO Capital'!D16,IF(D$36="Min",'RORO Capital'!E16,IF(E$36="Min",'RORO Capital'!F16,'Manual Capital RORO'!C14))))</f>
        <v>881540.81632653065</v>
      </c>
      <c r="C64" s="355">
        <f>IF(B$36="Min",'RORO Oper Maint'!C14,IF(C$36="Min",'RORO Oper Maint'!D14,IF(D$36="Min",'RORO Oper Maint'!E14,IF(E$36="Min",'RORO Oper Maint'!F14,SUM('Manual Oper Maint RORO'!C14:F14)))))</f>
        <v>0</v>
      </c>
    </row>
    <row r="65" spans="1:3" x14ac:dyDescent="0.25">
      <c r="A65" s="11" t="s">
        <v>240</v>
      </c>
      <c r="B65" s="355">
        <f>IF(B$36="Min",'RORO Capital'!C17,IF(C$36="Min",'RORO Capital'!D17,IF(D$36="Min",'RORO Capital'!E17,IF(E$36="Min",'RORO Capital'!F17,'Manual Capital RORO'!C15))))</f>
        <v>304960.91023459646</v>
      </c>
      <c r="C65" s="355">
        <f>IF(B$36="Min",'RORO Oper Maint'!C15,IF(C$36="Min",'RORO Oper Maint'!D15,IF(D$36="Min",'RORO Oper Maint'!E15,IF(E$36="Min",'RORO Oper Maint'!F15,SUM('Manual Oper Maint RORO'!C15:F15)))))</f>
        <v>719000</v>
      </c>
    </row>
    <row r="66" spans="1:3" x14ac:dyDescent="0.25">
      <c r="A66" s="11" t="s">
        <v>241</v>
      </c>
      <c r="B66" s="355">
        <f>IF(B$36="Min",'RORO Capital'!C18,IF(C$36="Min",'RORO Capital'!D18,IF(D$36="Min",'RORO Capital'!E18,IF(E$36="Min",'RORO Capital'!F18,'Manual Capital RORO'!C16))))</f>
        <v>304960.91023459646</v>
      </c>
      <c r="C66" s="355">
        <f>IF(B$36="Min",'RORO Oper Maint'!C16,IF(C$36="Min",'RORO Oper Maint'!D16,IF(D$36="Min",'RORO Oper Maint'!E16,IF(E$36="Min",'RORO Oper Maint'!F16,SUM('Manual Oper Maint RORO'!C16:F16)))))</f>
        <v>744000</v>
      </c>
    </row>
    <row r="67" spans="1:3" x14ac:dyDescent="0.25">
      <c r="A67" s="11" t="s">
        <v>242</v>
      </c>
      <c r="B67" s="355">
        <f>IF(B$36="Min",'RORO Capital'!C19,IF(C$36="Min",'RORO Capital'!D19,IF(D$36="Min",'RORO Capital'!E19,IF(E$36="Min",'RORO Capital'!F19,'Manual Capital RORO'!C17))))</f>
        <v>304960.91023459646</v>
      </c>
      <c r="C67" s="355">
        <f>IF(B$36="Min",'RORO Oper Maint'!C17,IF(C$36="Min",'RORO Oper Maint'!D17,IF(D$36="Min",'RORO Oper Maint'!E17,IF(E$36="Min",'RORO Oper Maint'!F17,SUM('Manual Oper Maint RORO'!C17:F17)))))</f>
        <v>772000</v>
      </c>
    </row>
    <row r="68" spans="1:3" x14ac:dyDescent="0.25">
      <c r="A68" s="11" t="s">
        <v>243</v>
      </c>
      <c r="B68" s="355">
        <f>IF(B$36="Min",'RORO Capital'!C20,IF(C$36="Min",'RORO Capital'!D20,IF(D$36="Min",'RORO Capital'!E20,IF(E$36="Min",'RORO Capital'!F20,'Manual Capital RORO'!C18))))</f>
        <v>304960.91023459646</v>
      </c>
      <c r="C68" s="355">
        <f>IF(B$36="Min",'RORO Oper Maint'!C18,IF(C$36="Min",'RORO Oper Maint'!D18,IF(D$36="Min",'RORO Oper Maint'!E18,IF(E$36="Min",'RORO Oper Maint'!F18,SUM('Manual Oper Maint RORO'!C18:F18)))))</f>
        <v>800000</v>
      </c>
    </row>
    <row r="69" spans="1:3" x14ac:dyDescent="0.25">
      <c r="A69" s="11" t="s">
        <v>244</v>
      </c>
      <c r="B69" s="355">
        <f>IF(B$36="Min",'RORO Capital'!C21,IF(C$36="Min",'RORO Capital'!D21,IF(D$36="Min",'RORO Capital'!E21,IF(E$36="Min",'RORO Capital'!F21,'Manual Capital RORO'!C19))))</f>
        <v>304960.91023459646</v>
      </c>
      <c r="C69" s="355">
        <f>IF(B$36="Min",'RORO Oper Maint'!C19,IF(C$36="Min",'RORO Oper Maint'!D19,IF(D$36="Min",'RORO Oper Maint'!E19,IF(E$36="Min",'RORO Oper Maint'!F19,SUM('Manual Oper Maint RORO'!C19:F19)))))</f>
        <v>831000</v>
      </c>
    </row>
    <row r="70" spans="1:3" x14ac:dyDescent="0.25">
      <c r="A70" s="11" t="s">
        <v>245</v>
      </c>
      <c r="B70" s="355">
        <f>IF(B$36="Min",'RORO Capital'!C22,IF(C$36="Min",'RORO Capital'!D22,IF(D$36="Min",'RORO Capital'!E22,IF(E$36="Min",'RORO Capital'!F22,'Manual Capital RORO'!C20))))</f>
        <v>304960.91023459646</v>
      </c>
      <c r="C70" s="355">
        <f>IF(B$36="Min",'RORO Oper Maint'!C20,IF(C$36="Min",'RORO Oper Maint'!D20,IF(D$36="Min",'RORO Oper Maint'!E20,IF(E$36="Min",'RORO Oper Maint'!F20,SUM('Manual Oper Maint RORO'!C20:F20)))))</f>
        <v>863000</v>
      </c>
    </row>
    <row r="71" spans="1:3" x14ac:dyDescent="0.25">
      <c r="A71" s="11" t="s">
        <v>246</v>
      </c>
      <c r="B71" s="355">
        <f>IF(B$36="Min",'RORO Capital'!C23,IF(C$36="Min",'RORO Capital'!D23,IF(D$36="Min",'RORO Capital'!E23,IF(E$36="Min",'RORO Capital'!F23,'Manual Capital RORO'!C21))))</f>
        <v>304960.91023459646</v>
      </c>
      <c r="C71" s="355">
        <f>IF(B$36="Min",'RORO Oper Maint'!C21,IF(C$36="Min",'RORO Oper Maint'!D21,IF(D$36="Min",'RORO Oper Maint'!E21,IF(E$36="Min",'RORO Oper Maint'!F21,SUM('Manual Oper Maint RORO'!C21:F21)))))</f>
        <v>897000</v>
      </c>
    </row>
    <row r="72" spans="1:3" x14ac:dyDescent="0.25">
      <c r="A72" s="11" t="s">
        <v>247</v>
      </c>
      <c r="B72" s="355">
        <f>IF(B$36="Min",'RORO Capital'!C24,IF(C$36="Min",'RORO Capital'!D24,IF(D$36="Min",'RORO Capital'!E24,IF(E$36="Min",'RORO Capital'!F24,'Manual Capital RORO'!C22))))</f>
        <v>304960.91023459646</v>
      </c>
      <c r="C72" s="355">
        <f>IF(B$36="Min",'RORO Oper Maint'!C22,IF(C$36="Min",'RORO Oper Maint'!D22,IF(D$36="Min",'RORO Oper Maint'!E22,IF(E$36="Min",'RORO Oper Maint'!F22,SUM('Manual Oper Maint RORO'!C22:F22)))))</f>
        <v>934000</v>
      </c>
    </row>
    <row r="73" spans="1:3" x14ac:dyDescent="0.25">
      <c r="A73" s="11" t="s">
        <v>248</v>
      </c>
      <c r="B73" s="355">
        <f>IF(B$36="Min",'RORO Capital'!C25,IF(C$36="Min",'RORO Capital'!D25,IF(D$36="Min",'RORO Capital'!E25,IF(E$36="Min",'RORO Capital'!F25,'Manual Capital RORO'!C23))))</f>
        <v>304960.91023459646</v>
      </c>
      <c r="C73" s="355">
        <f>IF(B$36="Min",'RORO Oper Maint'!C23,IF(C$36="Min",'RORO Oper Maint'!D23,IF(D$36="Min",'RORO Oper Maint'!E23,IF(E$36="Min",'RORO Oper Maint'!F23,SUM('Manual Oper Maint RORO'!C23:F23)))))</f>
        <v>973000</v>
      </c>
    </row>
    <row r="74" spans="1:3" x14ac:dyDescent="0.25">
      <c r="A74" s="11" t="s">
        <v>249</v>
      </c>
      <c r="B74" s="355">
        <f>IF(B$36="Min",'RORO Capital'!C26,IF(C$36="Min",'RORO Capital'!D26,IF(D$36="Min",'RORO Capital'!E26,IF(E$36="Min",'RORO Capital'!F26,'Manual Capital RORO'!C24))))</f>
        <v>304960.91023459646</v>
      </c>
      <c r="C74" s="355">
        <f>IF(B$36="Min",'RORO Oper Maint'!C24,IF(C$36="Min",'RORO Oper Maint'!D24,IF(D$36="Min",'RORO Oper Maint'!E24,IF(E$36="Min",'RORO Oper Maint'!F24,SUM('Manual Oper Maint RORO'!C24:F24)))))</f>
        <v>1015000</v>
      </c>
    </row>
    <row r="75" spans="1:3" x14ac:dyDescent="0.25">
      <c r="A75" s="11" t="s">
        <v>250</v>
      </c>
      <c r="B75" s="355">
        <f>IF(B$36="Min",'RORO Capital'!C27,IF(C$36="Min",'RORO Capital'!D27,IF(D$36="Min",'RORO Capital'!E27,IF(E$36="Min",'RORO Capital'!F27,'Manual Capital RORO'!C25))))</f>
        <v>304960.91023459646</v>
      </c>
      <c r="C75" s="355">
        <f>IF(B$36="Min",'RORO Oper Maint'!C25,IF(C$36="Min",'RORO Oper Maint'!D25,IF(D$36="Min",'RORO Oper Maint'!E25,IF(E$36="Min",'RORO Oper Maint'!F25,SUM('Manual Oper Maint RORO'!C25:F25)))))</f>
        <v>1059000</v>
      </c>
    </row>
    <row r="76" spans="1:3" x14ac:dyDescent="0.25">
      <c r="A76" s="11" t="s">
        <v>251</v>
      </c>
      <c r="B76" s="355">
        <f>IF(B$36="Min",'RORO Capital'!C28,IF(C$36="Min",'RORO Capital'!D28,IF(D$36="Min",'RORO Capital'!E28,IF(E$36="Min",'RORO Capital'!F28,'Manual Capital RORO'!C26))))</f>
        <v>304960.91023459646</v>
      </c>
      <c r="C76" s="355">
        <f>IF(B$36="Min",'RORO Oper Maint'!C26,IF(C$36="Min",'RORO Oper Maint'!D26,IF(D$36="Min",'RORO Oper Maint'!E26,IF(E$36="Min",'RORO Oper Maint'!F26,SUM('Manual Oper Maint RORO'!C26:F26)))))</f>
        <v>1106000</v>
      </c>
    </row>
    <row r="77" spans="1:3" x14ac:dyDescent="0.25">
      <c r="A77" s="11" t="s">
        <v>252</v>
      </c>
      <c r="B77" s="355">
        <f>IF(B$36="Min",'RORO Capital'!C29,IF(C$36="Min",'RORO Capital'!D29,IF(D$36="Min",'RORO Capital'!E29,IF(E$36="Min",'RORO Capital'!F29,'Manual Capital RORO'!C27))))</f>
        <v>304960.91023459646</v>
      </c>
      <c r="C77" s="355">
        <f>IF(B$36="Min",'RORO Oper Maint'!C27,IF(C$36="Min",'RORO Oper Maint'!D27,IF(D$36="Min",'RORO Oper Maint'!E27,IF(E$36="Min",'RORO Oper Maint'!F27,SUM('Manual Oper Maint RORO'!C27:F27)))))</f>
        <v>1157000</v>
      </c>
    </row>
    <row r="78" spans="1:3" x14ac:dyDescent="0.25">
      <c r="A78" s="11" t="s">
        <v>253</v>
      </c>
      <c r="B78" s="355">
        <f>IF(B$36="Min",'RORO Capital'!C30,IF(C$36="Min",'RORO Capital'!D30,IF(D$36="Min",'RORO Capital'!E30,IF(E$36="Min",'RORO Capital'!F30,'Manual Capital RORO'!C28))))</f>
        <v>304960.91023459646</v>
      </c>
      <c r="C78" s="355">
        <f>IF(B$36="Min",'RORO Oper Maint'!C28,IF(C$36="Min",'RORO Oper Maint'!D28,IF(D$36="Min",'RORO Oper Maint'!E28,IF(E$36="Min",'RORO Oper Maint'!F28,SUM('Manual Oper Maint RORO'!C28:F28)))))</f>
        <v>1212000</v>
      </c>
    </row>
    <row r="79" spans="1:3" x14ac:dyDescent="0.25">
      <c r="A79" s="11" t="s">
        <v>254</v>
      </c>
      <c r="B79" s="355">
        <f>IF(B$36="Min",'RORO Capital'!C31,IF(C$36="Min",'RORO Capital'!D31,IF(D$36="Min",'RORO Capital'!E31,IF(E$36="Min",'RORO Capital'!F31,'Manual Capital RORO'!C29))))</f>
        <v>304960.91023459646</v>
      </c>
      <c r="C79" s="355">
        <f>IF(B$36="Min",'RORO Oper Maint'!C29,IF(C$36="Min",'RORO Oper Maint'!D29,IF(D$36="Min",'RORO Oper Maint'!E29,IF(E$36="Min",'RORO Oper Maint'!F29,SUM('Manual Oper Maint RORO'!C29:F29)))))</f>
        <v>1270000</v>
      </c>
    </row>
    <row r="80" spans="1:3" x14ac:dyDescent="0.25">
      <c r="A80" s="11" t="s">
        <v>255</v>
      </c>
      <c r="B80" s="355">
        <f>IF(B$36="Min",'RORO Capital'!C32,IF(C$36="Min",'RORO Capital'!D32,IF(D$36="Min",'RORO Capital'!E32,IF(E$36="Min",'RORO Capital'!F32,'Manual Capital RORO'!C30))))</f>
        <v>304960.91023459646</v>
      </c>
      <c r="C80" s="355">
        <f>IF(B$36="Min",'RORO Oper Maint'!C30,IF(C$36="Min",'RORO Oper Maint'!D30,IF(D$36="Min",'RORO Oper Maint'!E30,IF(E$36="Min",'RORO Oper Maint'!F30,SUM('Manual Oper Maint RORO'!C30:F30)))))</f>
        <v>1333000</v>
      </c>
    </row>
    <row r="81" spans="1:3" x14ac:dyDescent="0.25">
      <c r="A81" s="11" t="s">
        <v>256</v>
      </c>
      <c r="B81" s="355">
        <f>IF(B$36="Min",'RORO Capital'!C33,IF(C$36="Min",'RORO Capital'!D33,IF(D$36="Min",'RORO Capital'!E33,IF(E$36="Min",'RORO Capital'!F33,'Manual Capital RORO'!C31))))</f>
        <v>304960.91023459646</v>
      </c>
      <c r="C81" s="355">
        <f>IF(B$36="Min",'RORO Oper Maint'!C31,IF(C$36="Min",'RORO Oper Maint'!D31,IF(D$36="Min",'RORO Oper Maint'!E31,IF(E$36="Min",'RORO Oper Maint'!F31,SUM('Manual Oper Maint RORO'!C31:F31)))))</f>
        <v>1401000</v>
      </c>
    </row>
    <row r="82" spans="1:3" x14ac:dyDescent="0.25">
      <c r="A82" s="11" t="s">
        <v>257</v>
      </c>
      <c r="B82" s="355">
        <f>IF(B$36="Min",'RORO Capital'!C34,IF(C$36="Min",'RORO Capital'!D34,IF(D$36="Min",'RORO Capital'!E34,IF(E$36="Min",'RORO Capital'!F34,'Manual Capital RORO'!C32))))</f>
        <v>304960.91023459646</v>
      </c>
      <c r="C82" s="355">
        <f>IF(B$36="Min",'RORO Oper Maint'!C32,IF(C$36="Min",'RORO Oper Maint'!D32,IF(D$36="Min",'RORO Oper Maint'!E32,IF(E$36="Min",'RORO Oper Maint'!F32,SUM('Manual Oper Maint RORO'!C32:F32)))))</f>
        <v>1474000</v>
      </c>
    </row>
    <row r="83" spans="1:3" x14ac:dyDescent="0.25">
      <c r="A83" s="11" t="s">
        <v>258</v>
      </c>
      <c r="B83" s="355">
        <f>IF(B$36="Min",'RORO Capital'!C35,IF(C$36="Min",'RORO Capital'!D35,IF(D$36="Min",'RORO Capital'!E35,IF(E$36="Min",'RORO Capital'!F35,'Manual Capital RORO'!C33))))</f>
        <v>304960.91023459646</v>
      </c>
      <c r="C83" s="355">
        <f>IF(B$36="Min",'RORO Oper Maint'!C33,IF(C$36="Min",'RORO Oper Maint'!D33,IF(D$36="Min",'RORO Oper Maint'!E33,IF(E$36="Min",'RORO Oper Maint'!F33,SUM('Manual Oper Maint RORO'!C33:F33)))))</f>
        <v>1553000</v>
      </c>
    </row>
    <row r="84" spans="1:3" x14ac:dyDescent="0.25">
      <c r="A84" s="11" t="s">
        <v>259</v>
      </c>
      <c r="B84" s="355">
        <f>IF(B$36="Min",'RORO Capital'!C36,IF(C$36="Min",'RORO Capital'!D36,IF(D$36="Min",'RORO Capital'!E36,IF(E$36="Min",'RORO Capital'!F36,'Manual Capital RORO'!C34))))</f>
        <v>304960.91023459646</v>
      </c>
      <c r="C84" s="355">
        <f>IF(B$36="Min",'RORO Oper Maint'!C34,IF(C$36="Min",'RORO Oper Maint'!D34,IF(D$36="Min",'RORO Oper Maint'!E34,IF(E$36="Min",'RORO Oper Maint'!F34,SUM('Manual Oper Maint RORO'!C34:F34)))))</f>
        <v>1637000</v>
      </c>
    </row>
    <row r="85" spans="1:3" x14ac:dyDescent="0.25">
      <c r="A85" s="11" t="s">
        <v>260</v>
      </c>
      <c r="B85" s="355">
        <f>IF(B$36="Min",'RORO Capital'!C37,IF(C$36="Min",'RORO Capital'!D37,IF(D$36="Min",'RORO Capital'!E37,IF(E$36="Min",'RORO Capital'!F37,'Manual Capital RORO'!C35))))</f>
        <v>0</v>
      </c>
      <c r="C85" s="355">
        <f>IF(B$36="Min",'RORO Oper Maint'!C35,IF(C$36="Min",'RORO Oper Maint'!D35,IF(D$36="Min",'RORO Oper Maint'!E35,IF(E$36="Min",'RORO Oper Maint'!F35,SUM('Manual Oper Maint RORO'!C35:F35)))))</f>
        <v>1729000</v>
      </c>
    </row>
    <row r="86" spans="1:3" x14ac:dyDescent="0.25">
      <c r="A86" s="11" t="s">
        <v>261</v>
      </c>
      <c r="B86" s="355">
        <f>IF(B$36="Min",'RORO Capital'!C38,IF(C$36="Min",'RORO Capital'!D38,IF(D$36="Min",'RORO Capital'!E38,IF(E$36="Min",'RORO Capital'!F38,'Manual Capital RORO'!C36))))</f>
        <v>0</v>
      </c>
      <c r="C86" s="355">
        <f>IF(B$36="Min",'RORO Oper Maint'!C36,IF(C$36="Min",'RORO Oper Maint'!D36,IF(D$36="Min",'RORO Oper Maint'!E36,IF(E$36="Min",'RORO Oper Maint'!F36,SUM('Manual Oper Maint RORO'!C36:F36)))))</f>
        <v>1828000</v>
      </c>
    </row>
    <row r="87" spans="1:3" x14ac:dyDescent="0.25">
      <c r="A87" s="11" t="s">
        <v>262</v>
      </c>
      <c r="B87" s="355">
        <f>IF(B$36="Min",'RORO Capital'!C39,IF(C$36="Min",'RORO Capital'!D39,IF(D$36="Min",'RORO Capital'!E39,IF(E$36="Min",'RORO Capital'!F39,'Manual Capital RORO'!C37))))</f>
        <v>0</v>
      </c>
      <c r="C87" s="355">
        <f>IF(B$36="Min",'RORO Oper Maint'!C37,IF(C$36="Min",'RORO Oper Maint'!D37,IF(D$36="Min",'RORO Oper Maint'!E37,IF(E$36="Min",'RORO Oper Maint'!F37,SUM('Manual Oper Maint RORO'!C37:F37)))))</f>
        <v>1936000</v>
      </c>
    </row>
    <row r="88" spans="1:3" x14ac:dyDescent="0.25">
      <c r="A88" s="11" t="s">
        <v>263</v>
      </c>
      <c r="B88" s="11"/>
      <c r="C88" s="355">
        <f>IF(B$36="Min",'RORO Oper Maint'!C38,IF(C$36="Min",'RORO Oper Maint'!D38,IF(D$36="Min",'RORO Oper Maint'!E38,IF(E$36="Min",'RORO Oper Maint'!F38,SUM('Manual Oper Maint RORO'!C38:F38)))))</f>
        <v>2052000</v>
      </c>
    </row>
    <row r="89" spans="1:3" x14ac:dyDescent="0.25">
      <c r="A89" s="11" t="s">
        <v>264</v>
      </c>
      <c r="B89" s="11"/>
      <c r="C89" s="355">
        <f>IF(B$36="Min",'RORO Oper Maint'!C39,IF(C$36="Min",'RORO Oper Maint'!D39,IF(D$36="Min",'RORO Oper Maint'!E39,IF(E$36="Min",'RORO Oper Maint'!F39,SUM('Manual Oper Maint RORO'!C39:F39)))))</f>
        <v>2178000</v>
      </c>
    </row>
    <row r="90" spans="1:3" x14ac:dyDescent="0.25">
      <c r="A90" s="11" t="s">
        <v>265</v>
      </c>
      <c r="B90" s="11"/>
      <c r="C90" s="355">
        <f>IF(B$36="Min",'RORO Oper Maint'!C40,IF(C$36="Min",'RORO Oper Maint'!D40,IF(D$36="Min",'RORO Oper Maint'!E40,IF(E$36="Min",'RORO Oper Maint'!F40,SUM('Manual Oper Maint RORO'!C40:F40)))))</f>
        <v>2315000</v>
      </c>
    </row>
    <row r="91" spans="1:3" x14ac:dyDescent="0.25">
      <c r="A91" s="11" t="s">
        <v>266</v>
      </c>
      <c r="B91" s="11"/>
      <c r="C91" s="355">
        <f>IF(B$36="Min",'RORO Oper Maint'!C41,IF(C$36="Min",'RORO Oper Maint'!D41,IF(D$36="Min",'RORO Oper Maint'!E41,IF(E$36="Min",'RORO Oper Maint'!F41,SUM('Manual Oper Maint RORO'!C41:F41)))))</f>
        <v>2464000</v>
      </c>
    </row>
    <row r="92" spans="1:3" x14ac:dyDescent="0.25">
      <c r="A92" s="11" t="s">
        <v>267</v>
      </c>
      <c r="B92" s="11"/>
      <c r="C92" s="355">
        <f>IF(B$36="Min",'RORO Oper Maint'!C42,IF(C$36="Min",'RORO Oper Maint'!D42,IF(D$36="Min",'RORO Oper Maint'!E42,IF(E$36="Min",'RORO Oper Maint'!F42,SUM('Manual Oper Maint RORO'!C42:F42)))))</f>
        <v>2626000</v>
      </c>
    </row>
    <row r="93" spans="1:3" x14ac:dyDescent="0.25">
      <c r="A93" s="11" t="s">
        <v>268</v>
      </c>
      <c r="B93" s="11"/>
      <c r="C93" s="355">
        <f>IF(B$36="Min",'RORO Oper Maint'!C43,IF(C$36="Min",'RORO Oper Maint'!D43,IF(D$36="Min",'RORO Oper Maint'!E43,IF(E$36="Min",'RORO Oper Maint'!F43,SUM('Manual Oper Maint RORO'!C43:F43)))))</f>
        <v>2801000</v>
      </c>
    </row>
    <row r="94" spans="1:3" x14ac:dyDescent="0.25">
      <c r="A94" s="11" t="s">
        <v>269</v>
      </c>
      <c r="B94" s="11"/>
      <c r="C94" s="355">
        <f>IF(B$36="Min",'RORO Oper Maint'!C44,IF(C$36="Min",'RORO Oper Maint'!D44,IF(D$36="Min",'RORO Oper Maint'!E44,IF(E$36="Min",'RORO Oper Maint'!F44,SUM('Manual Oper Maint RORO'!C44:F44)))))</f>
        <v>2993000</v>
      </c>
    </row>
    <row r="95" spans="1:3" x14ac:dyDescent="0.25">
      <c r="A95" s="11" t="s">
        <v>270</v>
      </c>
      <c r="B95" s="11"/>
      <c r="C95" s="355">
        <f>IF(B$36="Min",'RORO Oper Maint'!C45,IF(C$36="Min",'RORO Oper Maint'!D45,IF(D$36="Min",'RORO Oper Maint'!E45,IF(E$36="Min",'RORO Oper Maint'!F45,SUM('Manual Oper Maint RORO'!C45:F45)))))</f>
        <v>3201000</v>
      </c>
    </row>
    <row r="96" spans="1:3" x14ac:dyDescent="0.25">
      <c r="A96" s="11" t="s">
        <v>271</v>
      </c>
      <c r="B96" s="11"/>
      <c r="C96" s="355">
        <f>IF(B$36="Min",'RORO Oper Maint'!C46,IF(C$36="Min",'RORO Oper Maint'!D46,IF(D$36="Min",'RORO Oper Maint'!E46,IF(E$36="Min",'RORO Oper Maint'!F46,SUM('Manual Oper Maint RORO'!C46:F46)))))</f>
        <v>3428000</v>
      </c>
    </row>
    <row r="97" spans="1:3" x14ac:dyDescent="0.25">
      <c r="A97" s="11" t="s">
        <v>272</v>
      </c>
      <c r="B97" s="11"/>
      <c r="C97" s="355">
        <f>IF(B$36="Min",'RORO Oper Maint'!C47,IF(C$36="Min",'RORO Oper Maint'!D47,IF(D$36="Min",'RORO Oper Maint'!E47,IF(E$36="Min",'RORO Oper Maint'!F47,SUM('Manual Oper Maint RORO'!C47:F47)))))</f>
        <v>3676000</v>
      </c>
    </row>
    <row r="98" spans="1:3" x14ac:dyDescent="0.25">
      <c r="A98" s="11" t="s">
        <v>273</v>
      </c>
      <c r="B98" s="11"/>
      <c r="C98" s="355">
        <f>IF(B$36="Min",'RORO Oper Maint'!C48,IF(C$36="Min",'RORO Oper Maint'!D48,IF(D$36="Min",'RORO Oper Maint'!E48,IF(E$36="Min",'RORO Oper Maint'!F48,SUM('Manual Oper Maint RORO'!C48:F48)))))</f>
        <v>3946000</v>
      </c>
    </row>
    <row r="99" spans="1:3" x14ac:dyDescent="0.25">
      <c r="A99" s="11" t="s">
        <v>274</v>
      </c>
      <c r="B99" s="11"/>
      <c r="C99" s="355">
        <f>IF(B$36="Min",'RORO Oper Maint'!C49,IF(C$36="Min",'RORO Oper Maint'!D49,IF(D$36="Min",'RORO Oper Maint'!E49,IF(E$36="Min",'RORO Oper Maint'!F49,SUM('Manual Oper Maint RORO'!C49:F49)))))</f>
        <v>4241000</v>
      </c>
    </row>
    <row r="100" spans="1:3" x14ac:dyDescent="0.25">
      <c r="A100" s="11" t="s">
        <v>275</v>
      </c>
      <c r="B100" s="11"/>
      <c r="C100" s="355">
        <f>IF(B$36="Min",'RORO Oper Maint'!C50,IF(C$36="Min",'RORO Oper Maint'!D50,IF(D$36="Min",'RORO Oper Maint'!E50,IF(E$36="Min",'RORO Oper Maint'!F50,SUM('Manual Oper Maint RORO'!C50:F50)))))</f>
        <v>4563000</v>
      </c>
    </row>
    <row r="101" spans="1:3" x14ac:dyDescent="0.25">
      <c r="A101" s="11" t="s">
        <v>276</v>
      </c>
      <c r="B101" s="11"/>
      <c r="C101" s="355">
        <f>IF(B$36="Min",'RORO Oper Maint'!C51,IF(C$36="Min",'RORO Oper Maint'!D51,IF(D$36="Min",'RORO Oper Maint'!E51,IF(E$36="Min",'RORO Oper Maint'!F51,SUM('Manual Oper Maint RORO'!C51:F51)))))</f>
        <v>4915000</v>
      </c>
    </row>
    <row r="102" spans="1:3" x14ac:dyDescent="0.25">
      <c r="A102" s="11" t="s">
        <v>277</v>
      </c>
      <c r="B102" s="11"/>
      <c r="C102" s="355">
        <f>IF(B$36="Min",'RORO Oper Maint'!C52,IF(C$36="Min",'RORO Oper Maint'!D52,IF(D$36="Min",'RORO Oper Maint'!E52,IF(E$36="Min",'RORO Oper Maint'!F52,SUM('Manual Oper Maint RORO'!C52:F52)))))</f>
        <v>5300000</v>
      </c>
    </row>
    <row r="103" spans="1:3" x14ac:dyDescent="0.25">
      <c r="A103" s="11" t="s">
        <v>278</v>
      </c>
      <c r="B103" s="11"/>
      <c r="C103" s="355">
        <f>IF(B$36="Min",'RORO Oper Maint'!C53,IF(C$36="Min",'RORO Oper Maint'!D53,IF(D$36="Min",'RORO Oper Maint'!E53,IF(E$36="Min",'RORO Oper Maint'!F53,SUM('Manual Oper Maint RORO'!C53:F53)))))</f>
        <v>5721000</v>
      </c>
    </row>
    <row r="104" spans="1:3" x14ac:dyDescent="0.25">
      <c r="A104" s="11" t="s">
        <v>279</v>
      </c>
      <c r="B104" s="11"/>
      <c r="C104" s="355">
        <f>IF(B$36="Min",'RORO Oper Maint'!C54,IF(C$36="Min",'RORO Oper Maint'!D54,IF(D$36="Min",'RORO Oper Maint'!E54,IF(E$36="Min",'RORO Oper Maint'!F54,SUM('Manual Oper Maint RORO'!C54:F54)))))</f>
        <v>6181000</v>
      </c>
    </row>
  </sheetData>
  <sheetProtection password="EF95" sheet="1" objects="1" scenarios="1"/>
  <mergeCells count="1">
    <mergeCell ref="P5:P10"/>
  </mergeCells>
  <pageMargins left="0.25" right="0.25" top="0.5" bottom="0.25" header="0.3" footer="0.3"/>
  <pageSetup orientation="landscape" r:id="rId1"/>
  <headerFooter>
    <oddHeader xml:space="preserve">&amp;C
</oddHeader>
    <oddFooter>&amp;C&amp;D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view="pageLayout" zoomScale="90" zoomScaleNormal="100" zoomScalePageLayoutView="90" workbookViewId="0">
      <selection sqref="A1:E3"/>
    </sheetView>
  </sheetViews>
  <sheetFormatPr defaultRowHeight="15" x14ac:dyDescent="0.25"/>
  <cols>
    <col min="1" max="1" width="28.85546875" customWidth="1"/>
    <col min="2" max="3" width="12.140625" customWidth="1"/>
    <col min="4" max="4" width="12.7109375" customWidth="1"/>
    <col min="5" max="5" width="12.85546875" customWidth="1"/>
    <col min="6" max="6" width="13.42578125" customWidth="1"/>
    <col min="7" max="7" width="13.28515625" customWidth="1"/>
    <col min="8" max="8" width="13.5703125" customWidth="1"/>
    <col min="9" max="9" width="13.85546875" customWidth="1"/>
    <col min="10" max="10" width="12.140625" bestFit="1" customWidth="1"/>
    <col min="11" max="11" width="11.85546875" bestFit="1" customWidth="1"/>
    <col min="12" max="12" width="14.28515625" bestFit="1" customWidth="1"/>
    <col min="13" max="14" width="12.7109375" customWidth="1"/>
  </cols>
  <sheetData>
    <row r="1" spans="1:5" ht="18.75" customHeight="1" x14ac:dyDescent="0.25">
      <c r="A1" s="424" t="s">
        <v>192</v>
      </c>
      <c r="B1" s="425"/>
      <c r="C1" s="425"/>
      <c r="D1" s="425"/>
    </row>
    <row r="2" spans="1:5" x14ac:dyDescent="0.25">
      <c r="A2" s="18"/>
      <c r="B2" s="432" t="s">
        <v>48</v>
      </c>
      <c r="C2" s="433"/>
      <c r="D2" s="433"/>
      <c r="E2" s="433"/>
    </row>
    <row r="3" spans="1:5" ht="24.75" x14ac:dyDescent="0.25">
      <c r="A3" s="19"/>
      <c r="B3" s="201" t="str">
        <f>'RORO Summary'!L2</f>
        <v>&lt;100 Pax, &lt;10 Veh</v>
      </c>
      <c r="C3" s="201" t="str">
        <f>'RORO Summary'!M2</f>
        <v xml:space="preserve"> &lt;500 Pax, &lt;10 Veh</v>
      </c>
      <c r="D3" s="201" t="str">
        <f>'RORO Summary'!N2</f>
        <v>&lt;500 Pax, &lt;50 Veh</v>
      </c>
      <c r="E3" s="201" t="str">
        <f>'RORO Summary'!O2</f>
        <v>250-500 Pax, 45-100 Veh</v>
      </c>
    </row>
    <row r="4" spans="1:5" ht="15" customHeight="1" x14ac:dyDescent="0.25">
      <c r="A4" s="55" t="s">
        <v>82</v>
      </c>
      <c r="B4" s="399">
        <v>2</v>
      </c>
      <c r="C4" s="399"/>
      <c r="D4" s="399"/>
      <c r="E4" s="399"/>
    </row>
    <row r="5" spans="1:5" ht="15" customHeight="1" x14ac:dyDescent="0.25">
      <c r="A5" s="123" t="s">
        <v>121</v>
      </c>
      <c r="B5" s="363"/>
      <c r="C5" s="363"/>
      <c r="D5" s="363"/>
      <c r="E5" s="363"/>
    </row>
    <row r="6" spans="1:5" ht="15" customHeight="1" x14ac:dyDescent="0.25">
      <c r="A6" s="22" t="s">
        <v>122</v>
      </c>
      <c r="B6" s="399"/>
      <c r="C6" s="399">
        <v>4</v>
      </c>
      <c r="D6" s="399"/>
      <c r="E6" s="399"/>
    </row>
    <row r="7" spans="1:5" ht="15" customHeight="1" x14ac:dyDescent="0.25">
      <c r="A7" s="153" t="s">
        <v>13</v>
      </c>
      <c r="B7" s="154"/>
      <c r="C7" s="154">
        <f t="shared" ref="C7:E7" si="0">IF(C6&lt;1," ",C37*C6)</f>
        <v>688.17204301075287</v>
      </c>
      <c r="D7" s="154" t="str">
        <f t="shared" si="0"/>
        <v xml:space="preserve"> </v>
      </c>
      <c r="E7" s="154" t="str">
        <f t="shared" si="0"/>
        <v xml:space="preserve"> </v>
      </c>
    </row>
    <row r="8" spans="1:5" ht="15" customHeight="1" x14ac:dyDescent="0.25">
      <c r="A8" s="153" t="s">
        <v>165</v>
      </c>
      <c r="B8" s="188" t="str">
        <f>IF(SUM(B7:E7)&gt;E8,"yes","no")</f>
        <v>yes</v>
      </c>
      <c r="C8" s="155"/>
      <c r="D8" s="155" t="s">
        <v>166</v>
      </c>
      <c r="E8" s="155">
        <f>'User Inputs'!B9</f>
        <v>300</v>
      </c>
    </row>
    <row r="9" spans="1:5" ht="15" customHeight="1" x14ac:dyDescent="0.25">
      <c r="A9" s="123" t="s">
        <v>125</v>
      </c>
      <c r="B9" s="11"/>
      <c r="C9" s="11"/>
      <c r="D9" s="11"/>
      <c r="E9" s="11"/>
    </row>
    <row r="10" spans="1:5" ht="15" customHeight="1" x14ac:dyDescent="0.25">
      <c r="A10" s="22" t="s">
        <v>122</v>
      </c>
      <c r="B10" s="399"/>
      <c r="C10" s="399">
        <v>2</v>
      </c>
      <c r="D10" s="399"/>
      <c r="E10" s="399"/>
    </row>
    <row r="11" spans="1:5" ht="15" customHeight="1" x14ac:dyDescent="0.25">
      <c r="A11" s="153" t="s">
        <v>13</v>
      </c>
      <c r="B11" s="154" t="str">
        <f t="shared" ref="B11:E11" si="1">IF(B10&lt;1," ",B$37*B10)</f>
        <v xml:space="preserve"> </v>
      </c>
      <c r="C11" s="154">
        <f t="shared" si="1"/>
        <v>344.08602150537644</v>
      </c>
      <c r="D11" s="154" t="str">
        <f t="shared" si="1"/>
        <v xml:space="preserve"> </v>
      </c>
      <c r="E11" s="154" t="str">
        <f t="shared" si="1"/>
        <v xml:space="preserve"> </v>
      </c>
    </row>
    <row r="12" spans="1:5" ht="15" customHeight="1" x14ac:dyDescent="0.25">
      <c r="A12" s="153" t="s">
        <v>165</v>
      </c>
      <c r="B12" s="188" t="str">
        <f>IF(SUM(B11:E11)&gt;E12,"yes","no")</f>
        <v>yes</v>
      </c>
      <c r="C12" s="155"/>
      <c r="D12" s="155" t="s">
        <v>166</v>
      </c>
      <c r="E12" s="155">
        <f>'User Inputs'!B9/2</f>
        <v>150</v>
      </c>
    </row>
    <row r="13" spans="1:5" ht="15" customHeight="1" x14ac:dyDescent="0.25">
      <c r="A13" s="123" t="s">
        <v>126</v>
      </c>
      <c r="B13" s="11"/>
      <c r="C13" s="11"/>
      <c r="D13" s="11"/>
      <c r="E13" s="11"/>
    </row>
    <row r="14" spans="1:5" ht="15" customHeight="1" x14ac:dyDescent="0.25">
      <c r="A14" s="22" t="s">
        <v>122</v>
      </c>
      <c r="B14" s="399"/>
      <c r="C14" s="399">
        <v>2</v>
      </c>
      <c r="D14" s="399"/>
      <c r="E14" s="399"/>
    </row>
    <row r="15" spans="1:5" ht="15" customHeight="1" x14ac:dyDescent="0.25">
      <c r="A15" s="153" t="s">
        <v>13</v>
      </c>
      <c r="B15" s="154" t="str">
        <f t="shared" ref="B15:E15" si="2">IF(B14&lt;1," ",B$37*B14)</f>
        <v xml:space="preserve"> </v>
      </c>
      <c r="C15" s="154">
        <f t="shared" si="2"/>
        <v>344.08602150537644</v>
      </c>
      <c r="D15" s="154" t="str">
        <f t="shared" si="2"/>
        <v xml:space="preserve"> </v>
      </c>
      <c r="E15" s="154" t="str">
        <f t="shared" si="2"/>
        <v xml:space="preserve"> </v>
      </c>
    </row>
    <row r="16" spans="1:5" ht="15" customHeight="1" x14ac:dyDescent="0.25">
      <c r="A16" s="153" t="s">
        <v>165</v>
      </c>
      <c r="B16" s="188" t="str">
        <f>IF(SUM(B15:E15)&gt;E16,"yes","no")</f>
        <v>yes</v>
      </c>
      <c r="C16" s="155"/>
      <c r="D16" s="155" t="s">
        <v>166</v>
      </c>
      <c r="E16" s="155">
        <f>'User Inputs'!B14</f>
        <v>100</v>
      </c>
    </row>
    <row r="17" spans="1:5" ht="15" customHeight="1" x14ac:dyDescent="0.25">
      <c r="A17" s="123" t="s">
        <v>127</v>
      </c>
      <c r="B17" s="11"/>
      <c r="C17" s="11"/>
      <c r="D17" s="11"/>
      <c r="E17" s="11"/>
    </row>
    <row r="18" spans="1:5" ht="15" customHeight="1" x14ac:dyDescent="0.25">
      <c r="A18" s="22" t="s">
        <v>122</v>
      </c>
      <c r="B18" s="399">
        <v>2</v>
      </c>
      <c r="C18" s="399"/>
      <c r="D18" s="399"/>
      <c r="E18" s="399"/>
    </row>
    <row r="19" spans="1:5" ht="15" customHeight="1" x14ac:dyDescent="0.25">
      <c r="A19" s="153" t="s">
        <v>13</v>
      </c>
      <c r="B19" s="154">
        <f t="shared" ref="B19:E19" si="3">IF(B18&lt;1," ",B$37*B18)</f>
        <v>161.63265306122449</v>
      </c>
      <c r="C19" s="154" t="str">
        <f t="shared" si="3"/>
        <v xml:space="preserve"> </v>
      </c>
      <c r="D19" s="154" t="str">
        <f t="shared" si="3"/>
        <v xml:space="preserve"> </v>
      </c>
      <c r="E19" s="154" t="str">
        <f t="shared" si="3"/>
        <v xml:space="preserve"> </v>
      </c>
    </row>
    <row r="20" spans="1:5" ht="15" customHeight="1" x14ac:dyDescent="0.25">
      <c r="A20" s="153" t="s">
        <v>165</v>
      </c>
      <c r="B20" s="188" t="str">
        <f>IF(SUM(B19:E19)&gt;E20,"yes","no")</f>
        <v>yes</v>
      </c>
      <c r="C20" s="155"/>
      <c r="D20" s="155" t="s">
        <v>166</v>
      </c>
      <c r="E20" s="155">
        <f>'User Inputs'!B14/2</f>
        <v>50</v>
      </c>
    </row>
    <row r="21" spans="1:5" ht="15" customHeight="1" x14ac:dyDescent="0.25">
      <c r="A21" s="162"/>
      <c r="B21" s="150"/>
      <c r="C21" s="150"/>
      <c r="D21" s="150"/>
      <c r="E21" s="150"/>
    </row>
    <row r="22" spans="1:5" x14ac:dyDescent="0.25">
      <c r="A22" s="52" t="s">
        <v>28</v>
      </c>
      <c r="B22" s="37"/>
      <c r="C22" s="150"/>
      <c r="D22" s="150"/>
      <c r="E22" s="150"/>
    </row>
    <row r="23" spans="1:5" s="9" customFormat="1" x14ac:dyDescent="0.25">
      <c r="A23" s="156" t="s">
        <v>79</v>
      </c>
      <c r="B23" s="157">
        <f>SUM(B39:E39)</f>
        <v>3180</v>
      </c>
      <c r="C23" s="150"/>
      <c r="D23" s="150"/>
      <c r="E23" s="150"/>
    </row>
    <row r="24" spans="1:5" x14ac:dyDescent="0.25">
      <c r="A24" s="22" t="s">
        <v>164</v>
      </c>
      <c r="B24" s="157">
        <f>SUM(B40:E40)</f>
        <v>20</v>
      </c>
      <c r="C24" s="159"/>
      <c r="D24" s="159"/>
      <c r="E24" s="159"/>
    </row>
    <row r="25" spans="1:5" x14ac:dyDescent="0.25">
      <c r="A25" s="40" t="s">
        <v>85</v>
      </c>
      <c r="B25" s="157">
        <f>SUM(B41:E41)</f>
        <v>12578000</v>
      </c>
      <c r="C25" s="159"/>
      <c r="D25" s="159"/>
      <c r="E25" s="159"/>
    </row>
    <row r="26" spans="1:5" x14ac:dyDescent="0.25">
      <c r="A26" s="40" t="s">
        <v>86</v>
      </c>
      <c r="B26" s="157">
        <f>SUM(B42:E42)</f>
        <v>33100000</v>
      </c>
      <c r="C26" s="159"/>
      <c r="D26" s="159"/>
      <c r="E26" s="159"/>
    </row>
    <row r="27" spans="1:5" x14ac:dyDescent="0.25">
      <c r="A27" s="90" t="s">
        <v>87</v>
      </c>
      <c r="B27" s="157">
        <f>SUM(B43:E43)</f>
        <v>22839000</v>
      </c>
      <c r="C27" s="158"/>
      <c r="D27" s="158"/>
      <c r="E27" s="158"/>
    </row>
    <row r="28" spans="1:5" s="161" customFormat="1" x14ac:dyDescent="0.25">
      <c r="A28" s="160"/>
      <c r="B28" s="158"/>
      <c r="C28" s="158"/>
      <c r="D28" s="158"/>
      <c r="E28" s="158"/>
    </row>
    <row r="29" spans="1:5" x14ac:dyDescent="0.25">
      <c r="A29" s="52" t="s">
        <v>26</v>
      </c>
      <c r="B29" s="20"/>
      <c r="C29" s="20"/>
      <c r="D29" s="20"/>
      <c r="E29" s="20"/>
    </row>
    <row r="30" spans="1:5" x14ac:dyDescent="0.25">
      <c r="A30" s="55" t="s">
        <v>22</v>
      </c>
      <c r="B30" s="85">
        <f>IF((B6+B4)&lt;1," ",AVERAGE('Vessel Data'!K5:K6)*'User Inputs'!$E$2)</f>
        <v>8</v>
      </c>
      <c r="C30" s="85">
        <f>IF((C6+C4)&lt;1," ",AVERAGE('Vessel Data'!L5:L6)*'User Inputs'!$E$2)</f>
        <v>9.6000000000000014</v>
      </c>
      <c r="D30" s="85" t="str">
        <f>IF((D6+D4)&lt;1," ",AVERAGE('Vessel Data'!M5:M6)*'User Inputs'!$E$2)</f>
        <v xml:space="preserve"> </v>
      </c>
      <c r="E30" s="85" t="str">
        <f>IF((E6+E4)&lt;1," ",AVERAGE('Vessel Data'!N5:N6)*'User Inputs'!$E$2)</f>
        <v xml:space="preserve"> </v>
      </c>
    </row>
    <row r="31" spans="1:5" x14ac:dyDescent="0.25">
      <c r="A31" s="55" t="s">
        <v>27</v>
      </c>
      <c r="B31" s="85">
        <f>IF((B6+B4)&lt;1," ",AVERAGE('Vessel Data'!K9:K10))</f>
        <v>62.5</v>
      </c>
      <c r="C31" s="85">
        <f>IF((C6+C4)&lt;1," ",AVERAGE('Vessel Data'!L9:L10))</f>
        <v>300.5</v>
      </c>
      <c r="D31" s="85" t="str">
        <f>IF((D6+D4)&lt;1," ",AVERAGE('Vessel Data'!M9:M10))</f>
        <v xml:space="preserve"> </v>
      </c>
      <c r="E31" s="85" t="str">
        <f>IF((E6+E4)&lt;1," ",AVERAGE('Vessel Data'!N9:N10))</f>
        <v xml:space="preserve"> </v>
      </c>
    </row>
    <row r="32" spans="1:5" x14ac:dyDescent="0.25">
      <c r="A32" s="55" t="s">
        <v>9</v>
      </c>
      <c r="B32" s="86">
        <f>IF((B6+B4)&lt;1," ",'Vessel Data'!K19)</f>
        <v>3</v>
      </c>
      <c r="C32" s="86">
        <f>IF((C6+C4)&lt;1," ",'Vessel Data'!L19)</f>
        <v>5</v>
      </c>
      <c r="D32" s="86" t="str">
        <f>IF((D6+D4)&lt;1," ",'Vessel Data'!M19)</f>
        <v xml:space="preserve"> </v>
      </c>
      <c r="E32" s="86" t="str">
        <f>IF((E6+E4)&lt;1," ",'Vessel Data'!N19)</f>
        <v xml:space="preserve"> </v>
      </c>
    </row>
    <row r="33" spans="1:5" x14ac:dyDescent="0.25">
      <c r="A33" s="55" t="s">
        <v>83</v>
      </c>
      <c r="B33" s="89">
        <f>IF(B32=" "," ",'Vessel Data'!K23*(1-'User Inputs'!$E11*'User Inputs'!$E23))</f>
        <v>827500</v>
      </c>
      <c r="C33" s="89">
        <f>IF(C32=" "," ",'Vessel Data'!L23*(1-'User Inputs'!$E11*'User Inputs'!$E23))</f>
        <v>2730750</v>
      </c>
      <c r="D33" s="89" t="str">
        <f>IF(D32=" "," ",'Vessel Data'!M23*(1-'User Inputs'!$E11*'User Inputs'!$E23))</f>
        <v xml:space="preserve"> </v>
      </c>
      <c r="E33" s="89" t="str">
        <f>IF(E32=" "," ",'Vessel Data'!N23*(1-'User Inputs'!$E11*'User Inputs'!$E23))</f>
        <v xml:space="preserve"> </v>
      </c>
    </row>
    <row r="34" spans="1:5" x14ac:dyDescent="0.25">
      <c r="A34" s="55" t="s">
        <v>84</v>
      </c>
      <c r="B34" s="89">
        <f>IF(B33=" "," ",'Vessel Data'!K24*(1-'User Inputs'!$E11*'User Inputs'!$E23))</f>
        <v>4137500</v>
      </c>
      <c r="C34" s="89">
        <f>IF(C33=" "," ",'Vessel Data'!L24*(1-'User Inputs'!$E11*'User Inputs'!$E23))</f>
        <v>6206250</v>
      </c>
      <c r="D34" s="89" t="str">
        <f>IF(D33=" "," ",'Vessel Data'!M24*(1-'User Inputs'!$E11*'User Inputs'!$E23))</f>
        <v xml:space="preserve"> </v>
      </c>
      <c r="E34" s="89" t="str">
        <f>IF(E33=" "," ",'Vessel Data'!N24*(1-'User Inputs'!$E11*'User Inputs'!$E23))</f>
        <v xml:space="preserve"> </v>
      </c>
    </row>
    <row r="35" spans="1:5" x14ac:dyDescent="0.25">
      <c r="A35" s="55" t="s">
        <v>10</v>
      </c>
      <c r="B35" s="87">
        <f>IF((B6+B4)&lt;1," ",AVERAGE(B33:B34))</f>
        <v>2482500</v>
      </c>
      <c r="C35" s="87">
        <f t="shared" ref="C35:E35" si="4">IF((C6+C4)&lt;1," ",AVERAGE(C33:C34))</f>
        <v>4468500</v>
      </c>
      <c r="D35" s="87" t="str">
        <f t="shared" si="4"/>
        <v xml:space="preserve"> </v>
      </c>
      <c r="E35" s="87" t="str">
        <f t="shared" si="4"/>
        <v xml:space="preserve"> </v>
      </c>
    </row>
    <row r="36" spans="1:5" x14ac:dyDescent="0.25">
      <c r="A36" s="55" t="s">
        <v>8</v>
      </c>
      <c r="B36" s="13">
        <f>IF((B6+B4)&lt;1," ",'Vessel Data'!K49)</f>
        <v>73.5</v>
      </c>
      <c r="C36" s="13">
        <f>IF((C6+C4)&lt;1," ",'Vessel Data'!L49)</f>
        <v>69.749999999999986</v>
      </c>
      <c r="D36" s="13" t="str">
        <f>IF((D6+D4)&lt;1," ",'Vessel Data'!M49)</f>
        <v xml:space="preserve"> </v>
      </c>
      <c r="E36" s="13" t="str">
        <f>IF((E6+E4)&lt;1," ",'Vessel Data'!N49)</f>
        <v xml:space="preserve"> </v>
      </c>
    </row>
    <row r="37" spans="1:5" x14ac:dyDescent="0.25">
      <c r="A37" s="55" t="s">
        <v>71</v>
      </c>
      <c r="B37" s="13">
        <f>IF((B6+B4)&lt;1," ",AVERAGE('RORO Service Overview'!B10))</f>
        <v>80.816326530612244</v>
      </c>
      <c r="C37" s="13">
        <f>IF((C6+C4)&lt;1," ",AVERAGE('RORO Service Overview'!C10))</f>
        <v>172.04301075268822</v>
      </c>
      <c r="D37" s="13" t="str">
        <f>IF((D6+D4)&lt;1," ",AVERAGE('RORO Service Overview'!D10))</f>
        <v xml:space="preserve"> </v>
      </c>
      <c r="E37" s="13" t="str">
        <f>IF((E6+E4)&lt;1," ",AVERAGE('RORO Service Overview'!E10))</f>
        <v xml:space="preserve"> </v>
      </c>
    </row>
    <row r="38" spans="1:5" x14ac:dyDescent="0.25">
      <c r="A38" s="55" t="s">
        <v>124</v>
      </c>
      <c r="B38" s="13">
        <f t="shared" ref="B38:E39" si="5">SUM(B63,B58,B53,B48)</f>
        <v>570</v>
      </c>
      <c r="C38" s="13">
        <f t="shared" si="5"/>
        <v>1020</v>
      </c>
      <c r="D38" s="13">
        <f t="shared" si="5"/>
        <v>0</v>
      </c>
      <c r="E38" s="13">
        <f t="shared" si="5"/>
        <v>0</v>
      </c>
    </row>
    <row r="39" spans="1:5" s="9" customFormat="1" x14ac:dyDescent="0.25">
      <c r="A39" s="55" t="s">
        <v>29</v>
      </c>
      <c r="B39" s="13">
        <f t="shared" si="5"/>
        <v>240</v>
      </c>
      <c r="C39" s="13">
        <f t="shared" si="5"/>
        <v>2940</v>
      </c>
      <c r="D39" s="13">
        <f t="shared" si="5"/>
        <v>0</v>
      </c>
      <c r="E39" s="13">
        <f t="shared" si="5"/>
        <v>0</v>
      </c>
    </row>
    <row r="40" spans="1:5" x14ac:dyDescent="0.25">
      <c r="A40" s="55" t="s">
        <v>164</v>
      </c>
      <c r="B40" s="13" t="str">
        <f t="shared" ref="B40:E40" si="6">IF((B6)&lt;1," ",B6*B32)</f>
        <v xml:space="preserve"> </v>
      </c>
      <c r="C40" s="13">
        <f t="shared" si="6"/>
        <v>20</v>
      </c>
      <c r="D40" s="13" t="str">
        <f t="shared" si="6"/>
        <v xml:space="preserve"> </v>
      </c>
      <c r="E40" s="13" t="str">
        <f t="shared" si="6"/>
        <v xml:space="preserve"> </v>
      </c>
    </row>
    <row r="41" spans="1:5" x14ac:dyDescent="0.25">
      <c r="A41" s="55" t="s">
        <v>85</v>
      </c>
      <c r="B41" s="13">
        <f>IF((B6+B4)&lt;1," ",B33*(B6+B4))</f>
        <v>1655000</v>
      </c>
      <c r="C41" s="13">
        <f t="shared" ref="C41:E41" si="7">IF((C6+C4)&lt;1," ",C33*(C6+C4))</f>
        <v>10923000</v>
      </c>
      <c r="D41" s="13" t="str">
        <f t="shared" si="7"/>
        <v xml:space="preserve"> </v>
      </c>
      <c r="E41" s="13" t="str">
        <f t="shared" si="7"/>
        <v xml:space="preserve"> </v>
      </c>
    </row>
    <row r="42" spans="1:5" x14ac:dyDescent="0.25">
      <c r="A42" s="55" t="s">
        <v>86</v>
      </c>
      <c r="B42" s="13">
        <f t="shared" ref="B42:E42" si="8">IF((B4+B6)&lt;1," ",B34*(B4+B6))</f>
        <v>8275000</v>
      </c>
      <c r="C42" s="13">
        <f t="shared" si="8"/>
        <v>24825000</v>
      </c>
      <c r="D42" s="13" t="str">
        <f t="shared" si="8"/>
        <v xml:space="preserve"> </v>
      </c>
      <c r="E42" s="13" t="str">
        <f t="shared" si="8"/>
        <v xml:space="preserve"> </v>
      </c>
    </row>
    <row r="43" spans="1:5" x14ac:dyDescent="0.25">
      <c r="A43" s="55" t="s">
        <v>87</v>
      </c>
      <c r="B43" s="13">
        <f>IF((B6+B4)&lt;1," ",AVERAGE(B41:B42))</f>
        <v>4965000</v>
      </c>
      <c r="C43" s="13">
        <f t="shared" ref="C43:E43" si="9">IF((C6+C4)&lt;1," ",AVERAGE(C41:C42))</f>
        <v>17874000</v>
      </c>
      <c r="D43" s="13" t="str">
        <f t="shared" si="9"/>
        <v xml:space="preserve"> </v>
      </c>
      <c r="E43" s="13" t="str">
        <f t="shared" si="9"/>
        <v xml:space="preserve"> </v>
      </c>
    </row>
    <row r="44" spans="1:5" ht="13.5" customHeight="1" x14ac:dyDescent="0.25">
      <c r="A44" s="152"/>
      <c r="B44" s="117"/>
      <c r="C44" s="117"/>
      <c r="D44" s="117" t="str">
        <f>IF(D31=MAX($B31:$E31),"first"," ")</f>
        <v xml:space="preserve"> </v>
      </c>
      <c r="E44" s="117"/>
    </row>
    <row r="45" spans="1:5" s="9" customFormat="1" x14ac:dyDescent="0.25">
      <c r="A45" s="163" t="s">
        <v>121</v>
      </c>
    </row>
    <row r="46" spans="1:5" x14ac:dyDescent="0.25">
      <c r="A46" s="55" t="s">
        <v>123</v>
      </c>
      <c r="B46" s="29" t="str">
        <f t="shared" ref="B46:E46" si="10">IF(B6&lt;1," ",B6*B$32)</f>
        <v xml:space="preserve"> </v>
      </c>
      <c r="C46" s="29">
        <f t="shared" si="10"/>
        <v>20</v>
      </c>
      <c r="D46" s="29" t="str">
        <f t="shared" si="10"/>
        <v xml:space="preserve"> </v>
      </c>
      <c r="E46" s="29" t="str">
        <f t="shared" si="10"/>
        <v xml:space="preserve"> </v>
      </c>
    </row>
    <row r="47" spans="1:5" x14ac:dyDescent="0.25">
      <c r="A47" s="55" t="s">
        <v>12</v>
      </c>
      <c r="B47" s="28" t="str">
        <f t="shared" ref="B47:E47" si="11">IF(B6&lt;1," ",B$36/B6)</f>
        <v xml:space="preserve"> </v>
      </c>
      <c r="C47" s="28">
        <f t="shared" si="11"/>
        <v>17.437499999999996</v>
      </c>
      <c r="D47" s="28" t="str">
        <f t="shared" si="11"/>
        <v xml:space="preserve"> </v>
      </c>
      <c r="E47" s="28" t="str">
        <f t="shared" si="11"/>
        <v xml:space="preserve"> </v>
      </c>
    </row>
    <row r="48" spans="1:5" x14ac:dyDescent="0.25">
      <c r="A48" s="55" t="s">
        <v>124</v>
      </c>
      <c r="B48" s="149">
        <f>IF((B6+B4)&lt;1," ",'User Inputs'!$B$8*'User Inputs'!$B$11/2)</f>
        <v>450</v>
      </c>
      <c r="C48" s="149">
        <f>IF((C6+C4)&lt;1," ",'User Inputs'!$B$8*'User Inputs'!$B$11/2)</f>
        <v>450</v>
      </c>
      <c r="D48" s="149" t="str">
        <f>IF((D6+D4)&lt;1," ",'User Inputs'!$B$8*'User Inputs'!$B$11/2)</f>
        <v xml:space="preserve"> </v>
      </c>
      <c r="E48" s="149" t="str">
        <f>IF((E6+E4)&lt;1," ",'User Inputs'!$B$8*'User Inputs'!$B$11/2)</f>
        <v xml:space="preserve"> </v>
      </c>
    </row>
    <row r="49" spans="1:5" x14ac:dyDescent="0.25">
      <c r="A49" s="55" t="s">
        <v>29</v>
      </c>
      <c r="B49" s="149">
        <f t="shared" ref="B49:E49" si="12">IF((B6+B4)&lt;1," ",B48*B6)</f>
        <v>0</v>
      </c>
      <c r="C49" s="149">
        <f t="shared" si="12"/>
        <v>1800</v>
      </c>
      <c r="D49" s="149" t="str">
        <f t="shared" si="12"/>
        <v xml:space="preserve"> </v>
      </c>
      <c r="E49" s="149" t="str">
        <f t="shared" si="12"/>
        <v xml:space="preserve"> </v>
      </c>
    </row>
    <row r="50" spans="1:5" x14ac:dyDescent="0.25">
      <c r="A50" s="163" t="s">
        <v>125</v>
      </c>
    </row>
    <row r="51" spans="1:5" x14ac:dyDescent="0.25">
      <c r="A51" s="55" t="s">
        <v>123</v>
      </c>
      <c r="B51" s="29" t="str">
        <f t="shared" ref="B51:E51" si="13">IF(B10&lt;1," ",B10*B$32)</f>
        <v xml:space="preserve"> </v>
      </c>
      <c r="C51" s="29">
        <f t="shared" si="13"/>
        <v>10</v>
      </c>
      <c r="D51" s="29" t="str">
        <f t="shared" si="13"/>
        <v xml:space="preserve"> </v>
      </c>
      <c r="E51" s="29" t="str">
        <f t="shared" si="13"/>
        <v xml:space="preserve"> </v>
      </c>
    </row>
    <row r="52" spans="1:5" x14ac:dyDescent="0.25">
      <c r="A52" s="55" t="s">
        <v>12</v>
      </c>
      <c r="B52" s="28" t="str">
        <f t="shared" ref="B52:E52" si="14">IF((B10)&lt;1," ",B$36/B10)</f>
        <v xml:space="preserve"> </v>
      </c>
      <c r="C52" s="28">
        <f t="shared" si="14"/>
        <v>34.874999999999993</v>
      </c>
      <c r="D52" s="28" t="str">
        <f t="shared" si="14"/>
        <v xml:space="preserve"> </v>
      </c>
      <c r="E52" s="28" t="str">
        <f t="shared" si="14"/>
        <v xml:space="preserve"> </v>
      </c>
    </row>
    <row r="53" spans="1:5" x14ac:dyDescent="0.25">
      <c r="A53" s="55" t="s">
        <v>124</v>
      </c>
      <c r="B53" s="149" t="str">
        <f>IF((B10)&lt;1," ",'User Inputs'!$B$8*'User Inputs'!$B$11/2)</f>
        <v xml:space="preserve"> </v>
      </c>
      <c r="C53" s="149">
        <f>IF((C10)&lt;1," ",'User Inputs'!$B$8*'User Inputs'!$B$11/2)</f>
        <v>450</v>
      </c>
      <c r="D53" s="149" t="str">
        <f>IF((D10)&lt;1," ",'User Inputs'!$B$8*'User Inputs'!$B$11/2)</f>
        <v xml:space="preserve"> </v>
      </c>
      <c r="E53" s="149" t="str">
        <f>IF((E10)&lt;1," ",'User Inputs'!$B$8*'User Inputs'!$B$11/2)</f>
        <v xml:space="preserve"> </v>
      </c>
    </row>
    <row r="54" spans="1:5" x14ac:dyDescent="0.25">
      <c r="A54" s="55" t="s">
        <v>29</v>
      </c>
      <c r="B54" s="149" t="str">
        <f t="shared" ref="B54:E54" si="15">IF((B10)&lt;1," ",B53*B10)</f>
        <v xml:space="preserve"> </v>
      </c>
      <c r="C54" s="149">
        <f t="shared" si="15"/>
        <v>900</v>
      </c>
      <c r="D54" s="149" t="str">
        <f t="shared" si="15"/>
        <v xml:space="preserve"> </v>
      </c>
      <c r="E54" s="149" t="str">
        <f t="shared" si="15"/>
        <v xml:space="preserve"> </v>
      </c>
    </row>
    <row r="55" spans="1:5" x14ac:dyDescent="0.25">
      <c r="A55" s="163" t="s">
        <v>126</v>
      </c>
    </row>
    <row r="56" spans="1:5" x14ac:dyDescent="0.25">
      <c r="A56" s="55" t="s">
        <v>123</v>
      </c>
      <c r="B56" s="29" t="str">
        <f t="shared" ref="B56:E56" si="16">IF(B14&lt;1," ",B14*B$32)</f>
        <v xml:space="preserve"> </v>
      </c>
      <c r="C56" s="29">
        <f t="shared" si="16"/>
        <v>10</v>
      </c>
      <c r="D56" s="29" t="str">
        <f t="shared" si="16"/>
        <v xml:space="preserve"> </v>
      </c>
      <c r="E56" s="29" t="str">
        <f t="shared" si="16"/>
        <v xml:space="preserve"> </v>
      </c>
    </row>
    <row r="57" spans="1:5" x14ac:dyDescent="0.25">
      <c r="A57" s="55" t="s">
        <v>12</v>
      </c>
      <c r="B57" s="28" t="str">
        <f t="shared" ref="B57:E57" si="17">IF((B14)&lt;1," ",B$36/B14)</f>
        <v xml:space="preserve"> </v>
      </c>
      <c r="C57" s="28">
        <f t="shared" si="17"/>
        <v>34.874999999999993</v>
      </c>
      <c r="D57" s="28" t="str">
        <f t="shared" si="17"/>
        <v xml:space="preserve"> </v>
      </c>
      <c r="E57" s="28" t="str">
        <f t="shared" si="17"/>
        <v xml:space="preserve"> </v>
      </c>
    </row>
    <row r="58" spans="1:5" x14ac:dyDescent="0.25">
      <c r="A58" s="55" t="s">
        <v>124</v>
      </c>
      <c r="B58" s="149" t="str">
        <f>IF((B14)&lt;1," ",'User Inputs'!$B$13*'User Inputs'!$B$16/2)</f>
        <v xml:space="preserve"> </v>
      </c>
      <c r="C58" s="149">
        <f>IF((C14)&lt;1," ",'User Inputs'!$B$13*'User Inputs'!$B$16/2)</f>
        <v>120</v>
      </c>
      <c r="D58" s="149" t="str">
        <f>IF((D14)&lt;1," ",'User Inputs'!$B$13*'User Inputs'!$B$16/2)</f>
        <v xml:space="preserve"> </v>
      </c>
      <c r="E58" s="149" t="str">
        <f>IF((E14)&lt;1," ",'User Inputs'!$B$13*'User Inputs'!$B$16/2)</f>
        <v xml:space="preserve"> </v>
      </c>
    </row>
    <row r="59" spans="1:5" x14ac:dyDescent="0.25">
      <c r="A59" s="55" t="s">
        <v>29</v>
      </c>
      <c r="B59" s="149" t="str">
        <f t="shared" ref="B59:E59" si="18">IF((B14)&lt;1," ",B58*B14)</f>
        <v xml:space="preserve"> </v>
      </c>
      <c r="C59" s="149">
        <f t="shared" si="18"/>
        <v>240</v>
      </c>
      <c r="D59" s="149" t="str">
        <f t="shared" si="18"/>
        <v xml:space="preserve"> </v>
      </c>
      <c r="E59" s="149" t="str">
        <f t="shared" si="18"/>
        <v xml:space="preserve"> </v>
      </c>
    </row>
    <row r="60" spans="1:5" x14ac:dyDescent="0.25">
      <c r="A60" s="163" t="s">
        <v>127</v>
      </c>
    </row>
    <row r="61" spans="1:5" x14ac:dyDescent="0.25">
      <c r="A61" s="55" t="s">
        <v>123</v>
      </c>
      <c r="B61" s="29">
        <f t="shared" ref="B61:E61" si="19">IF(B18&lt;1," ",B18*B$32)</f>
        <v>6</v>
      </c>
      <c r="C61" s="29" t="str">
        <f t="shared" si="19"/>
        <v xml:space="preserve"> </v>
      </c>
      <c r="D61" s="29" t="str">
        <f t="shared" si="19"/>
        <v xml:space="preserve"> </v>
      </c>
      <c r="E61" s="29" t="str">
        <f t="shared" si="19"/>
        <v xml:space="preserve"> </v>
      </c>
    </row>
    <row r="62" spans="1:5" x14ac:dyDescent="0.25">
      <c r="A62" s="55" t="s">
        <v>12</v>
      </c>
      <c r="B62" s="28">
        <f t="shared" ref="B62:E62" si="20">IF((B18)&lt;1," ",B$36/B18)</f>
        <v>36.75</v>
      </c>
      <c r="C62" s="28" t="str">
        <f t="shared" si="20"/>
        <v xml:space="preserve"> </v>
      </c>
      <c r="D62" s="28" t="str">
        <f t="shared" si="20"/>
        <v xml:space="preserve"> </v>
      </c>
      <c r="E62" s="28" t="str">
        <f t="shared" si="20"/>
        <v xml:space="preserve"> </v>
      </c>
    </row>
    <row r="63" spans="1:5" x14ac:dyDescent="0.25">
      <c r="A63" s="55" t="s">
        <v>124</v>
      </c>
      <c r="B63" s="149">
        <f>IF((B18)&lt;1," ",'User Inputs'!$B$13*'User Inputs'!$B$16/2)</f>
        <v>120</v>
      </c>
      <c r="C63" s="149" t="str">
        <f>IF((C18)&lt;1," ",'User Inputs'!$B$13*'User Inputs'!$B$16/2)</f>
        <v xml:space="preserve"> </v>
      </c>
      <c r="D63" s="149" t="str">
        <f>IF((D18)&lt;1," ",'User Inputs'!$B$13*'User Inputs'!$B$16/2)</f>
        <v xml:space="preserve"> </v>
      </c>
      <c r="E63" s="149" t="str">
        <f>IF((E18)&lt;1," ",'User Inputs'!$B$13*'User Inputs'!$B$16/2)</f>
        <v xml:space="preserve"> </v>
      </c>
    </row>
    <row r="64" spans="1:5" x14ac:dyDescent="0.25">
      <c r="A64" s="55" t="s">
        <v>29</v>
      </c>
      <c r="B64" s="149">
        <f t="shared" ref="B64:E64" si="21">IF((B18)&lt;1," ",B63*B18)</f>
        <v>240</v>
      </c>
      <c r="C64" s="149" t="str">
        <f t="shared" si="21"/>
        <v xml:space="preserve"> </v>
      </c>
      <c r="D64" s="149" t="str">
        <f t="shared" si="21"/>
        <v xml:space="preserve"> </v>
      </c>
      <c r="E64" s="149" t="str">
        <f t="shared" si="21"/>
        <v xml:space="preserve"> </v>
      </c>
    </row>
    <row r="65" spans="2:5" x14ac:dyDescent="0.25">
      <c r="B65" s="11"/>
      <c r="C65" s="11"/>
      <c r="D65" s="11"/>
      <c r="E65" s="11"/>
    </row>
    <row r="66" spans="2:5" x14ac:dyDescent="0.25">
      <c r="B66" s="11"/>
      <c r="C66" s="11"/>
      <c r="D66" s="11"/>
      <c r="E66" s="11"/>
    </row>
  </sheetData>
  <sheetProtection password="EF95" sheet="1" objects="1" scenarios="1"/>
  <mergeCells count="2">
    <mergeCell ref="A1:D1"/>
    <mergeCell ref="B2:E2"/>
  </mergeCells>
  <pageMargins left="0.25" right="0.25" top="0.75" bottom="0.75" header="0.3" footer="0.3"/>
  <pageSetup orientation="landscape" r:id="rId1"/>
  <headerFooter>
    <oddHeader xml:space="preserve">&amp;CService and Fleet Characteristics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zoomScale="85" zoomScaleNormal="100" zoomScalePageLayoutView="85" workbookViewId="0">
      <selection sqref="A1:A2"/>
    </sheetView>
  </sheetViews>
  <sheetFormatPr defaultRowHeight="15" x14ac:dyDescent="0.25"/>
  <cols>
    <col min="1" max="1" width="22.5703125" customWidth="1"/>
    <col min="2" max="2" width="3.85546875" customWidth="1"/>
    <col min="3" max="3" width="15.140625" customWidth="1"/>
    <col min="4" max="4" width="13.42578125" bestFit="1" customWidth="1"/>
    <col min="5" max="5" width="12.7109375" customWidth="1"/>
    <col min="6" max="6" width="14.85546875" customWidth="1"/>
    <col min="7" max="7" width="13.140625" customWidth="1"/>
    <col min="8" max="8" width="13.42578125" bestFit="1" customWidth="1"/>
    <col min="9" max="9" width="14.42578125" customWidth="1"/>
    <col min="10" max="10" width="13.42578125" bestFit="1" customWidth="1"/>
    <col min="11" max="11" width="28.7109375" customWidth="1"/>
    <col min="13" max="13" width="14.42578125" customWidth="1"/>
    <col min="16" max="16" width="12.5703125" bestFit="1" customWidth="1"/>
  </cols>
  <sheetData>
    <row r="1" spans="1:11" ht="24.75" x14ac:dyDescent="0.25">
      <c r="A1" s="115" t="s">
        <v>92</v>
      </c>
      <c r="B1" s="2"/>
      <c r="C1" s="201" t="str">
        <f>IF(('Manual RORO'!B6+'Manual RORO'!B4)&lt;1," ",'RORO Service Overview'!B1)</f>
        <v>&lt;100 Pax, &lt;10 Veh</v>
      </c>
      <c r="D1" s="201" t="str">
        <f>IF(('Manual RORO'!C6+'Manual RORO'!C4)&lt;1," ",'RORO Service Overview'!C1)</f>
        <v xml:space="preserve"> &lt;500 Pax, &lt;10 Veh</v>
      </c>
      <c r="E1" s="201" t="str">
        <f>IF(('Manual RORO'!D6+'Manual RORO'!D4)&lt;1," ",'RORO Service Overview'!D1)</f>
        <v xml:space="preserve"> </v>
      </c>
      <c r="F1" s="201" t="str">
        <f>IF(('Manual RORO'!E6+'Manual RORO'!E4)&lt;1," ",'RORO Service Overview'!E1)</f>
        <v xml:space="preserve"> </v>
      </c>
      <c r="G1" s="302"/>
      <c r="H1" s="302"/>
      <c r="I1" s="45"/>
      <c r="J1" s="45"/>
    </row>
    <row r="2" spans="1:11" ht="15" customHeight="1" x14ac:dyDescent="0.25">
      <c r="A2" t="s">
        <v>189</v>
      </c>
      <c r="C2" s="189">
        <f>'User Inputs'!$B8*MAX('Manual RORO'!B6,'Manual RORO'!B10)+'User Inputs'!$B13*MAX('Manual RORO'!B14,'Manual RORO'!B18)+('User Inputs'!$B8+'User Inputs'!$B13)*('Manual RORO'!B4)</f>
        <v>276</v>
      </c>
      <c r="D2" s="189">
        <f>'User Inputs'!$B8*MAX('Manual RORO'!C6,'Manual RORO'!C10)+'User Inputs'!$B13*MAX('Manual RORO'!C14,'Manual RORO'!C18)+('User Inputs'!$B8+'User Inputs'!$B13)*('Manual RORO'!C4)</f>
        <v>408</v>
      </c>
      <c r="E2" s="189">
        <f>'User Inputs'!$B8*MAX('Manual RORO'!D6,'Manual RORO'!D10)+'User Inputs'!$B13*MAX('Manual RORO'!D14,'Manual RORO'!D18)+('User Inputs'!$B8+'User Inputs'!$B13)*('Manual RORO'!D4)</f>
        <v>0</v>
      </c>
      <c r="F2" s="189">
        <f>'User Inputs'!$B8*MAX('Manual RORO'!E6,'Manual RORO'!E10)+'User Inputs'!$B13*MAX('Manual RORO'!E14,'Manual RORO'!E18)+('User Inputs'!$B8+'User Inputs'!$B13)*('Manual RORO'!E4)</f>
        <v>0</v>
      </c>
      <c r="G2" s="303"/>
      <c r="H2" s="303"/>
      <c r="I2" s="303"/>
      <c r="J2" s="303"/>
    </row>
    <row r="3" spans="1:11" ht="28.5" customHeight="1" x14ac:dyDescent="0.25">
      <c r="A3" s="39" t="s">
        <v>188</v>
      </c>
      <c r="B3" s="124"/>
      <c r="C3" s="306">
        <f>IF('Manual RORO'!B4+'Manual RORO'!B6&gt;0,'User Inputs'!$B20*('Manual RORO'!B6+'Manual RORO'!B4)+IF('User Inputs'!$B17="Yes",('Manual RORO'!B6+'Manual RORO'!B4-'Manual RORO'!B14-'Manual RORO'!B18)*'User Inputs'!$B13,0)," ")</f>
        <v>360</v>
      </c>
      <c r="D3" s="306">
        <f>IF('Manual RORO'!C4+'Manual RORO'!C6&gt;0,'User Inputs'!$B20*('Manual RORO'!C6+'Manual RORO'!C4)+IF('User Inputs'!$B17="Yes",('Manual RORO'!C6+'Manual RORO'!C4-'Manual RORO'!C14-'Manual RORO'!C18)*'User Inputs'!$B13,0)," ")</f>
        <v>768</v>
      </c>
      <c r="E3" s="306" t="str">
        <f>IF('Manual RORO'!D4+'Manual RORO'!D6&gt;0,'User Inputs'!$B20*('Manual RORO'!D6+'Manual RORO'!D4)+IF('User Inputs'!$B17="Yes",('Manual RORO'!D6+'Manual RORO'!D4-'Manual RORO'!D14-'Manual RORO'!D18)*'User Inputs'!$B13,0)," ")</f>
        <v xml:space="preserve"> </v>
      </c>
      <c r="F3" s="306" t="str">
        <f>IF('Manual RORO'!E4+'Manual RORO'!E6&gt;0,'User Inputs'!$B20*('Manual RORO'!E6+'Manual RORO'!E4)+IF('User Inputs'!$B17="Yes",('Manual RORO'!E6+'Manual RORO'!E4-'Manual RORO'!E14-'Manual RORO'!E18)*'User Inputs'!$B13,0)," ")</f>
        <v xml:space="preserve"> </v>
      </c>
      <c r="G3" s="303"/>
      <c r="H3" s="303"/>
      <c r="I3" s="303"/>
      <c r="J3" s="303"/>
    </row>
    <row r="4" spans="1:11" ht="30" x14ac:dyDescent="0.25">
      <c r="A4" s="39" t="s">
        <v>130</v>
      </c>
      <c r="B4" s="124"/>
      <c r="C4" s="193">
        <f>IF(C1&lt;&gt;" ",C2/(C2+C3)," ")</f>
        <v>0.43396226415094341</v>
      </c>
      <c r="D4" s="193">
        <f t="shared" ref="D4:F4" si="0">IF(D1&lt;&gt;" ",D2/(D2+D3)," ")</f>
        <v>0.34693877551020408</v>
      </c>
      <c r="E4" s="193" t="str">
        <f t="shared" si="0"/>
        <v xml:space="preserve"> </v>
      </c>
      <c r="F4" s="193" t="str">
        <f t="shared" si="0"/>
        <v xml:space="preserve"> </v>
      </c>
      <c r="G4" s="304"/>
      <c r="H4" s="304"/>
      <c r="I4" s="304"/>
      <c r="J4" s="304"/>
    </row>
    <row r="5" spans="1:11" x14ac:dyDescent="0.25">
      <c r="A5" s="4" t="s">
        <v>167</v>
      </c>
      <c r="B5" s="93"/>
      <c r="C5" s="14">
        <f>IF(C4=" "," ",-1*'Manual RORO'!B43)</f>
        <v>-4965000</v>
      </c>
      <c r="D5" s="14">
        <f>IF(D4=" "," ",-1*'Manual RORO'!C43)</f>
        <v>-17874000</v>
      </c>
      <c r="E5" s="14" t="str">
        <f>IF(E4=" "," ",-1*'Manual RORO'!D43)</f>
        <v xml:space="preserve"> </v>
      </c>
      <c r="F5" s="14" t="str">
        <f>IF(F4=" "," ",-1*'Manual RORO'!E43)</f>
        <v xml:space="preserve"> </v>
      </c>
      <c r="G5" s="35"/>
      <c r="H5" s="35"/>
      <c r="I5" s="35"/>
      <c r="J5" s="35"/>
    </row>
    <row r="6" spans="1:11" ht="28.5" customHeight="1" x14ac:dyDescent="0.25">
      <c r="A6" s="203" t="s">
        <v>73</v>
      </c>
      <c r="B6" s="93" t="s">
        <v>145</v>
      </c>
      <c r="C6" s="91">
        <f t="shared" ref="C6:F6" si="1">IF(C4=" "," ",C5*C$4)</f>
        <v>-2154622.6415094342</v>
      </c>
      <c r="D6" s="91">
        <f t="shared" si="1"/>
        <v>-6201183.6734693879</v>
      </c>
      <c r="E6" s="91" t="str">
        <f t="shared" si="1"/>
        <v xml:space="preserve"> </v>
      </c>
      <c r="F6" s="91" t="str">
        <f t="shared" si="1"/>
        <v xml:space="preserve"> </v>
      </c>
      <c r="G6" s="305"/>
      <c r="H6" s="305"/>
      <c r="I6" s="305"/>
      <c r="J6" s="305"/>
    </row>
    <row r="7" spans="1:11" x14ac:dyDescent="0.25">
      <c r="A7" s="39" t="s">
        <v>50</v>
      </c>
      <c r="C7" s="14">
        <f>-'User Inputs'!$E17*SUM(C6:J6)</f>
        <v>1671161.2629957646</v>
      </c>
      <c r="D7" s="167"/>
      <c r="E7" s="167"/>
      <c r="F7" s="167"/>
      <c r="G7" s="167"/>
      <c r="H7" s="167"/>
      <c r="I7" s="167"/>
      <c r="J7" s="167"/>
    </row>
    <row r="8" spans="1:11" x14ac:dyDescent="0.25">
      <c r="A8" s="68" t="s">
        <v>46</v>
      </c>
      <c r="B8" s="71" t="s">
        <v>145</v>
      </c>
      <c r="C8" s="69">
        <f>-'Vessel Data'!K33/4</f>
        <v>-21060</v>
      </c>
      <c r="D8" s="35"/>
      <c r="E8" s="35"/>
      <c r="F8" s="35"/>
      <c r="G8" s="35"/>
      <c r="H8" s="35"/>
      <c r="I8" s="35"/>
      <c r="J8" s="35"/>
    </row>
    <row r="9" spans="1:11" ht="30" x14ac:dyDescent="0.25">
      <c r="A9" s="44" t="s">
        <v>47</v>
      </c>
      <c r="B9" s="95"/>
      <c r="C9" s="14">
        <f>SUM(C6:J6,C8)+C7</f>
        <v>-6705705.0519830575</v>
      </c>
      <c r="D9" s="35"/>
      <c r="E9" s="35"/>
      <c r="F9" s="35"/>
      <c r="G9" s="35"/>
      <c r="H9" s="35"/>
      <c r="I9" s="35"/>
      <c r="J9" s="35"/>
    </row>
    <row r="10" spans="1:11" x14ac:dyDescent="0.25">
      <c r="A10" s="106" t="s">
        <v>49</v>
      </c>
      <c r="B10" s="93"/>
      <c r="C10" s="14">
        <f>PMT('User Inputs'!$E$14/12,'User Inputs'!$E$13*12,C9)*12</f>
        <v>576501.04418815183</v>
      </c>
      <c r="D10" s="35"/>
      <c r="E10" s="35"/>
      <c r="F10" s="35"/>
      <c r="G10" s="35"/>
      <c r="H10" s="35"/>
      <c r="I10" s="35"/>
      <c r="J10" s="35"/>
    </row>
    <row r="11" spans="1:11" s="9" customFormat="1" ht="30" x14ac:dyDescent="0.25">
      <c r="A11" s="39" t="s">
        <v>43</v>
      </c>
      <c r="B11" s="93" t="s">
        <v>144</v>
      </c>
      <c r="C11" s="14">
        <f>IF(C4=" "," ",C6*('User Inputs'!$E$11))</f>
        <v>-49556.320754716988</v>
      </c>
      <c r="D11" s="14">
        <f>IF(D4=" "," ",D6*('User Inputs'!$E$11))</f>
        <v>-142627.22448979592</v>
      </c>
      <c r="E11" s="14" t="str">
        <f>IF(E4=" "," ",E6*('User Inputs'!$E$11))</f>
        <v xml:space="preserve"> </v>
      </c>
      <c r="F11" s="14" t="str">
        <f>IF(F4=" "," ",F6*('User Inputs'!$E$11))</f>
        <v xml:space="preserve"> </v>
      </c>
      <c r="G11" s="35"/>
      <c r="H11" s="35"/>
      <c r="I11" s="35"/>
      <c r="J11" s="35"/>
    </row>
    <row r="12" spans="1:11" ht="30" x14ac:dyDescent="0.25">
      <c r="A12" s="202" t="s">
        <v>237</v>
      </c>
      <c r="C12" s="91">
        <f>IF(C4=" "," ",-C6+40*C11)</f>
        <v>172369.8113207547</v>
      </c>
      <c r="D12" s="91">
        <f t="shared" ref="D12:F12" si="2">IF(D4=" "," ",-D6+40*D11)</f>
        <v>496094.69387755077</v>
      </c>
      <c r="E12" s="91" t="str">
        <f t="shared" si="2"/>
        <v xml:space="preserve"> </v>
      </c>
      <c r="F12" s="91" t="str">
        <f t="shared" si="2"/>
        <v xml:space="preserve"> </v>
      </c>
      <c r="G12" s="305"/>
      <c r="H12" s="305"/>
      <c r="I12" s="305"/>
      <c r="J12" s="305"/>
      <c r="K12" s="9"/>
    </row>
    <row r="13" spans="1:11" s="9" customFormat="1" x14ac:dyDescent="0.25">
      <c r="A13" s="426" t="s">
        <v>89</v>
      </c>
      <c r="B13" s="427"/>
      <c r="C13" s="31"/>
      <c r="D13" s="31"/>
      <c r="E13" s="35"/>
      <c r="F13" s="35"/>
      <c r="G13" s="35"/>
      <c r="H13" s="35"/>
      <c r="I13" s="35"/>
      <c r="J13" s="36"/>
    </row>
    <row r="14" spans="1:11" x14ac:dyDescent="0.25">
      <c r="A14" s="4" t="s">
        <v>42</v>
      </c>
      <c r="B14" s="33">
        <v>0</v>
      </c>
      <c r="C14" s="14">
        <f>C7</f>
        <v>1671161.2629957646</v>
      </c>
      <c r="D14" s="35"/>
      <c r="E14" s="35"/>
      <c r="F14" s="35"/>
      <c r="G14" s="35"/>
      <c r="H14" s="35"/>
      <c r="I14" s="35"/>
      <c r="J14" s="35"/>
    </row>
    <row r="15" spans="1:11" ht="15" customHeight="1" x14ac:dyDescent="0.25">
      <c r="A15" s="4" t="s">
        <v>42</v>
      </c>
      <c r="B15" s="33">
        <v>1</v>
      </c>
      <c r="C15" s="14">
        <f>IF('User Inputs'!$E$13&gt;=B15,C$10,0)</f>
        <v>576501.04418815183</v>
      </c>
      <c r="D15" s="35"/>
      <c r="E15" s="35"/>
      <c r="F15" s="35"/>
      <c r="G15" s="35"/>
      <c r="H15" s="35"/>
      <c r="I15" s="35"/>
      <c r="J15" s="35"/>
    </row>
    <row r="16" spans="1:11" x14ac:dyDescent="0.25">
      <c r="A16" s="4" t="s">
        <v>42</v>
      </c>
      <c r="B16" s="33">
        <v>2</v>
      </c>
      <c r="C16" s="14">
        <f>IF('User Inputs'!$E$13&gt;=B16,C$10,0)</f>
        <v>576501.04418815183</v>
      </c>
      <c r="D16" s="35"/>
      <c r="E16" s="35"/>
      <c r="F16" s="35"/>
      <c r="G16" s="35"/>
      <c r="H16" s="35"/>
      <c r="I16" s="35"/>
      <c r="J16" s="35"/>
    </row>
    <row r="17" spans="1:10" s="9" customFormat="1" x14ac:dyDescent="0.25">
      <c r="A17" s="4" t="s">
        <v>42</v>
      </c>
      <c r="B17" s="33">
        <v>3</v>
      </c>
      <c r="C17" s="14">
        <f>IF('User Inputs'!$E$13&gt;=B17,C$10,0)</f>
        <v>576501.04418815183</v>
      </c>
      <c r="D17" s="35"/>
      <c r="E17" s="35"/>
      <c r="F17" s="35"/>
      <c r="G17" s="35"/>
      <c r="H17" s="35"/>
      <c r="I17" s="35"/>
      <c r="J17" s="35"/>
    </row>
    <row r="18" spans="1:10" x14ac:dyDescent="0.25">
      <c r="A18" s="4" t="s">
        <v>42</v>
      </c>
      <c r="B18" s="33">
        <v>4</v>
      </c>
      <c r="C18" s="14">
        <f>IF('User Inputs'!$E$13&gt;=B18,C$10,0)</f>
        <v>576501.04418815183</v>
      </c>
      <c r="D18" s="35"/>
      <c r="E18" s="35"/>
      <c r="F18" s="35"/>
      <c r="G18" s="35"/>
      <c r="H18" s="35"/>
      <c r="I18" s="35"/>
      <c r="J18" s="35"/>
    </row>
    <row r="19" spans="1:10" s="9" customFormat="1" x14ac:dyDescent="0.25">
      <c r="A19" s="4" t="s">
        <v>42</v>
      </c>
      <c r="B19" s="33">
        <v>5</v>
      </c>
      <c r="C19" s="14">
        <f>IF('User Inputs'!$E$13&gt;=B19,C$10,0)</f>
        <v>576501.04418815183</v>
      </c>
      <c r="D19" s="35"/>
      <c r="E19" s="35"/>
      <c r="F19" s="35"/>
      <c r="G19" s="35"/>
      <c r="H19" s="35"/>
      <c r="I19" s="35"/>
      <c r="J19" s="35"/>
    </row>
    <row r="20" spans="1:10" ht="15" customHeight="1" x14ac:dyDescent="0.25">
      <c r="A20" s="4" t="s">
        <v>42</v>
      </c>
      <c r="B20" s="33">
        <v>6</v>
      </c>
      <c r="C20" s="14">
        <f>IF('User Inputs'!$E$13&gt;=B20,C$10,0)</f>
        <v>576501.04418815183</v>
      </c>
      <c r="D20" s="35"/>
      <c r="E20" s="35"/>
      <c r="F20" s="35"/>
      <c r="G20" s="35"/>
      <c r="H20" s="35"/>
      <c r="I20" s="35"/>
      <c r="J20" s="35"/>
    </row>
    <row r="21" spans="1:10" x14ac:dyDescent="0.25">
      <c r="A21" s="4" t="s">
        <v>42</v>
      </c>
      <c r="B21" s="33">
        <v>7</v>
      </c>
      <c r="C21" s="14">
        <f>IF('User Inputs'!$E$13&gt;=B21,C$10,0)</f>
        <v>576501.04418815183</v>
      </c>
      <c r="D21" s="35"/>
      <c r="E21" s="35"/>
      <c r="F21" s="35"/>
      <c r="G21" s="35"/>
      <c r="H21" s="35"/>
      <c r="I21" s="35"/>
      <c r="J21" s="35"/>
    </row>
    <row r="22" spans="1:10" x14ac:dyDescent="0.25">
      <c r="A22" s="4" t="s">
        <v>42</v>
      </c>
      <c r="B22" s="33">
        <v>8</v>
      </c>
      <c r="C22" s="14">
        <f>IF('User Inputs'!$E$13&gt;=B22,C$10,0)</f>
        <v>576501.04418815183</v>
      </c>
      <c r="D22" s="35"/>
      <c r="E22" s="35"/>
      <c r="F22" s="35"/>
      <c r="G22" s="35"/>
      <c r="H22" s="35"/>
      <c r="I22" s="35"/>
      <c r="J22" s="35"/>
    </row>
    <row r="23" spans="1:10" s="9" customFormat="1" x14ac:dyDescent="0.25">
      <c r="A23" s="4" t="s">
        <v>42</v>
      </c>
      <c r="B23" s="33">
        <v>9</v>
      </c>
      <c r="C23" s="14">
        <f>IF('User Inputs'!$E$13&gt;=B23,C$10,0)</f>
        <v>576501.04418815183</v>
      </c>
      <c r="D23" s="35"/>
      <c r="E23" s="35"/>
      <c r="F23" s="35"/>
      <c r="G23" s="35"/>
      <c r="H23" s="35"/>
      <c r="I23" s="35"/>
      <c r="J23" s="35"/>
    </row>
    <row r="24" spans="1:10" ht="17.25" customHeight="1" x14ac:dyDescent="0.25">
      <c r="A24" s="4" t="s">
        <v>42</v>
      </c>
      <c r="B24" s="33">
        <v>10</v>
      </c>
      <c r="C24" s="14">
        <f>IF('User Inputs'!$E$13&gt;=B24,C$10,0)</f>
        <v>576501.04418815183</v>
      </c>
      <c r="D24" s="35"/>
      <c r="E24" s="35"/>
      <c r="F24" s="35"/>
      <c r="G24" s="35"/>
      <c r="H24" s="35"/>
      <c r="I24" s="35"/>
      <c r="J24" s="35"/>
    </row>
    <row r="25" spans="1:10" x14ac:dyDescent="0.25">
      <c r="A25" s="4" t="s">
        <v>42</v>
      </c>
      <c r="B25" s="33">
        <v>11</v>
      </c>
      <c r="C25" s="14">
        <f>IF('User Inputs'!$E$13&gt;=B25,C$10,0)</f>
        <v>576501.04418815183</v>
      </c>
      <c r="D25" s="35"/>
      <c r="E25" s="35"/>
      <c r="F25" s="35"/>
      <c r="G25" s="35"/>
      <c r="H25" s="35"/>
      <c r="I25" s="35"/>
      <c r="J25" s="35"/>
    </row>
    <row r="26" spans="1:10" x14ac:dyDescent="0.25">
      <c r="A26" s="4" t="s">
        <v>42</v>
      </c>
      <c r="B26" s="33">
        <v>12</v>
      </c>
      <c r="C26" s="14">
        <f>IF('User Inputs'!$E$13&gt;=B26,C$10,0)</f>
        <v>576501.04418815183</v>
      </c>
      <c r="D26" s="35"/>
      <c r="E26" s="35"/>
      <c r="F26" s="35"/>
      <c r="G26" s="35"/>
      <c r="H26" s="35"/>
      <c r="I26" s="35"/>
      <c r="J26" s="35"/>
    </row>
    <row r="27" spans="1:10" x14ac:dyDescent="0.25">
      <c r="A27" s="4" t="s">
        <v>42</v>
      </c>
      <c r="B27" s="33">
        <v>13</v>
      </c>
      <c r="C27" s="14">
        <f>IF('User Inputs'!$E$13&gt;=B27,C$10,0)</f>
        <v>576501.04418815183</v>
      </c>
      <c r="D27" s="35"/>
      <c r="E27" s="35"/>
      <c r="F27" s="35"/>
      <c r="G27" s="35"/>
      <c r="H27" s="35"/>
      <c r="I27" s="35"/>
      <c r="J27" s="35"/>
    </row>
    <row r="28" spans="1:10" x14ac:dyDescent="0.25">
      <c r="A28" s="4" t="s">
        <v>42</v>
      </c>
      <c r="B28" s="33">
        <v>14</v>
      </c>
      <c r="C28" s="14">
        <f>IF('User Inputs'!$E$13&gt;=B28,C$10,0)</f>
        <v>576501.04418815183</v>
      </c>
      <c r="D28" s="35"/>
      <c r="E28" s="35"/>
      <c r="F28" s="35"/>
      <c r="G28" s="35"/>
      <c r="H28" s="35"/>
      <c r="I28" s="35"/>
      <c r="J28" s="35"/>
    </row>
    <row r="29" spans="1:10" x14ac:dyDescent="0.25">
      <c r="A29" s="4" t="s">
        <v>42</v>
      </c>
      <c r="B29" s="33">
        <v>15</v>
      </c>
      <c r="C29" s="14">
        <f>IF('User Inputs'!$E$13&gt;=B29,C$10,0)</f>
        <v>576501.04418815183</v>
      </c>
      <c r="D29" s="35"/>
      <c r="E29" s="35"/>
      <c r="F29" s="35"/>
      <c r="G29" s="35"/>
      <c r="H29" s="35"/>
      <c r="I29" s="35"/>
      <c r="J29" s="35"/>
    </row>
    <row r="30" spans="1:10" x14ac:dyDescent="0.25">
      <c r="A30" s="4" t="s">
        <v>42</v>
      </c>
      <c r="B30" s="33">
        <v>16</v>
      </c>
      <c r="C30" s="14">
        <f>IF('User Inputs'!$E$13&gt;=B30,C$10,0)</f>
        <v>576501.04418815183</v>
      </c>
      <c r="D30" s="35"/>
      <c r="E30" s="35"/>
      <c r="F30" s="35"/>
      <c r="G30" s="35"/>
      <c r="H30" s="35"/>
      <c r="I30" s="35"/>
      <c r="J30" s="35"/>
    </row>
    <row r="31" spans="1:10" x14ac:dyDescent="0.25">
      <c r="A31" s="4" t="s">
        <v>42</v>
      </c>
      <c r="B31" s="33">
        <v>17</v>
      </c>
      <c r="C31" s="14">
        <f>IF('User Inputs'!$E$13&gt;=B31,C$10,0)</f>
        <v>576501.04418815183</v>
      </c>
      <c r="D31" s="35"/>
      <c r="E31" s="35"/>
      <c r="F31" s="35"/>
      <c r="G31" s="35"/>
      <c r="H31" s="35"/>
      <c r="I31" s="35"/>
      <c r="J31" s="35"/>
    </row>
    <row r="32" spans="1:10" x14ac:dyDescent="0.25">
      <c r="A32" s="4" t="s">
        <v>42</v>
      </c>
      <c r="B32" s="33">
        <v>18</v>
      </c>
      <c r="C32" s="14">
        <f>IF('User Inputs'!$E$13&gt;=B32,C$10,0)</f>
        <v>576501.04418815183</v>
      </c>
      <c r="D32" s="35"/>
      <c r="E32" s="35"/>
      <c r="F32" s="35"/>
      <c r="G32" s="35"/>
      <c r="H32" s="35"/>
      <c r="I32" s="35"/>
      <c r="J32" s="35"/>
    </row>
    <row r="33" spans="1:10" x14ac:dyDescent="0.25">
      <c r="A33" s="4" t="s">
        <v>42</v>
      </c>
      <c r="B33" s="33">
        <v>19</v>
      </c>
      <c r="C33" s="14">
        <f>IF('User Inputs'!$E$13&gt;=B33,C$10,0)</f>
        <v>576501.04418815183</v>
      </c>
      <c r="D33" s="35"/>
      <c r="E33" s="35"/>
      <c r="F33" s="35"/>
      <c r="G33" s="35"/>
      <c r="H33" s="35"/>
      <c r="I33" s="35"/>
      <c r="J33" s="35"/>
    </row>
    <row r="34" spans="1:10" x14ac:dyDescent="0.25">
      <c r="A34" s="4" t="s">
        <v>42</v>
      </c>
      <c r="B34" s="33">
        <v>20</v>
      </c>
      <c r="C34" s="14">
        <f>IF('User Inputs'!$E$13&gt;=B34,C$10,0)</f>
        <v>576501.04418815183</v>
      </c>
      <c r="D34" s="35"/>
      <c r="E34" s="35"/>
      <c r="F34" s="35"/>
      <c r="G34" s="35"/>
      <c r="H34" s="35"/>
      <c r="I34" s="35"/>
      <c r="J34" s="35"/>
    </row>
    <row r="35" spans="1:10" x14ac:dyDescent="0.25">
      <c r="A35" s="4" t="s">
        <v>42</v>
      </c>
      <c r="B35" s="33">
        <v>21</v>
      </c>
      <c r="C35" s="14">
        <f>IF('User Inputs'!$E$13&gt;=B35,C$10,0)</f>
        <v>0</v>
      </c>
      <c r="D35" s="35"/>
      <c r="E35" s="35"/>
      <c r="F35" s="35"/>
      <c r="G35" s="35"/>
      <c r="H35" s="35"/>
      <c r="I35" s="35"/>
      <c r="J35" s="35"/>
    </row>
    <row r="36" spans="1:10" x14ac:dyDescent="0.25">
      <c r="A36" s="4" t="s">
        <v>42</v>
      </c>
      <c r="B36" s="33">
        <v>22</v>
      </c>
      <c r="C36" s="14">
        <f>IF('User Inputs'!$E$13&gt;=B36,C$10,0)</f>
        <v>0</v>
      </c>
      <c r="D36" s="35"/>
      <c r="E36" s="35"/>
      <c r="F36" s="35"/>
      <c r="G36" s="35"/>
      <c r="H36" s="35"/>
      <c r="I36" s="35"/>
      <c r="J36" s="35"/>
    </row>
    <row r="37" spans="1:10" x14ac:dyDescent="0.25">
      <c r="A37" s="4" t="s">
        <v>42</v>
      </c>
      <c r="B37" s="33">
        <v>23</v>
      </c>
      <c r="C37" s="14">
        <f>IF('User Inputs'!$E$13&gt;=B37,C$10,0)</f>
        <v>0</v>
      </c>
      <c r="D37" s="35"/>
      <c r="E37" s="35"/>
      <c r="F37" s="35"/>
      <c r="G37" s="35"/>
      <c r="H37" s="35"/>
      <c r="I37" s="35"/>
      <c r="J37" s="35"/>
    </row>
    <row r="38" spans="1:10" x14ac:dyDescent="0.25">
      <c r="A38" s="4" t="s">
        <v>42</v>
      </c>
      <c r="B38" s="33">
        <v>24</v>
      </c>
      <c r="C38" s="14">
        <f>IF('User Inputs'!$E$13&gt;=B38,C$10,0)</f>
        <v>0</v>
      </c>
      <c r="D38" s="35"/>
      <c r="E38" s="35"/>
      <c r="F38" s="35"/>
      <c r="G38" s="35"/>
      <c r="H38" s="35"/>
      <c r="I38" s="35"/>
      <c r="J38" s="35"/>
    </row>
    <row r="39" spans="1:10" x14ac:dyDescent="0.25">
      <c r="A39" s="4" t="s">
        <v>42</v>
      </c>
      <c r="B39" s="33">
        <v>25</v>
      </c>
      <c r="C39" s="14">
        <f>IF('User Inputs'!$E$13&gt;=B39,C$10,0)</f>
        <v>0</v>
      </c>
      <c r="D39" s="35"/>
      <c r="E39" s="35"/>
      <c r="F39" s="35"/>
      <c r="G39" s="35"/>
      <c r="H39" s="35"/>
      <c r="I39" s="35"/>
      <c r="J39" s="35"/>
    </row>
    <row r="40" spans="1:10" x14ac:dyDescent="0.25">
      <c r="A40" s="4" t="s">
        <v>42</v>
      </c>
      <c r="B40" s="33">
        <v>26</v>
      </c>
      <c r="C40" s="14">
        <f>IF('User Inputs'!$E$13&gt;=B40,C$10,0)</f>
        <v>0</v>
      </c>
    </row>
    <row r="41" spans="1:10" x14ac:dyDescent="0.25">
      <c r="A41" s="4" t="s">
        <v>42</v>
      </c>
      <c r="B41" s="33">
        <v>27</v>
      </c>
      <c r="C41" s="14">
        <f>IF('User Inputs'!$E$13&gt;=B41,C$10,0)</f>
        <v>0</v>
      </c>
    </row>
    <row r="42" spans="1:10" x14ac:dyDescent="0.25">
      <c r="A42" s="4" t="s">
        <v>42</v>
      </c>
      <c r="B42" s="33">
        <v>28</v>
      </c>
      <c r="C42" s="14">
        <f>IF('User Inputs'!$E$13&gt;=B42,C$10,0)</f>
        <v>0</v>
      </c>
    </row>
    <row r="43" spans="1:10" x14ac:dyDescent="0.25">
      <c r="A43" s="4" t="s">
        <v>42</v>
      </c>
      <c r="B43" s="33">
        <v>29</v>
      </c>
      <c r="C43" s="14">
        <f>IF('User Inputs'!$E$13&gt;=B43,C$10,0)</f>
        <v>0</v>
      </c>
    </row>
    <row r="44" spans="1:10" x14ac:dyDescent="0.25">
      <c r="A44" s="4" t="s">
        <v>42</v>
      </c>
      <c r="B44" s="33">
        <v>30</v>
      </c>
      <c r="C44" s="14">
        <f>IF('User Inputs'!$E$13&gt;=B44,C$10,0)</f>
        <v>0</v>
      </c>
    </row>
    <row r="45" spans="1:10" x14ac:dyDescent="0.25">
      <c r="A45" s="4" t="s">
        <v>42</v>
      </c>
      <c r="B45" s="33">
        <v>31</v>
      </c>
      <c r="C45" s="14">
        <f>IF('User Inputs'!$E$13&gt;=B45,C$10,0)</f>
        <v>0</v>
      </c>
    </row>
    <row r="46" spans="1:10" x14ac:dyDescent="0.25">
      <c r="A46" s="4" t="s">
        <v>42</v>
      </c>
      <c r="B46" s="33">
        <v>32</v>
      </c>
      <c r="C46" s="14">
        <f>IF('User Inputs'!$E$13&gt;=B46,C$10,0)</f>
        <v>0</v>
      </c>
    </row>
    <row r="47" spans="1:10" x14ac:dyDescent="0.25">
      <c r="A47" s="4" t="s">
        <v>42</v>
      </c>
      <c r="B47" s="33">
        <v>33</v>
      </c>
      <c r="C47" s="14">
        <f>IF('User Inputs'!$E$13&gt;=B47,C$10,0)</f>
        <v>0</v>
      </c>
    </row>
    <row r="48" spans="1:10" x14ac:dyDescent="0.25">
      <c r="A48" s="4" t="s">
        <v>42</v>
      </c>
      <c r="B48" s="33">
        <v>34</v>
      </c>
      <c r="C48" s="14">
        <f>IF('User Inputs'!$E$13&gt;=B48,C$10,0)</f>
        <v>0</v>
      </c>
    </row>
    <row r="49" spans="1:3" x14ac:dyDescent="0.25">
      <c r="A49" s="4" t="s">
        <v>42</v>
      </c>
      <c r="B49" s="33">
        <v>35</v>
      </c>
      <c r="C49" s="14">
        <f>IF('User Inputs'!$E$13&gt;=B49,C$10,0)</f>
        <v>0</v>
      </c>
    </row>
    <row r="50" spans="1:3" x14ac:dyDescent="0.25">
      <c r="A50" s="4" t="s">
        <v>42</v>
      </c>
      <c r="B50" s="33">
        <v>36</v>
      </c>
      <c r="C50" s="14">
        <f>IF('User Inputs'!$E$13&gt;=B50,C$10,0)</f>
        <v>0</v>
      </c>
    </row>
    <row r="51" spans="1:3" x14ac:dyDescent="0.25">
      <c r="A51" s="4" t="s">
        <v>42</v>
      </c>
      <c r="B51" s="33">
        <v>37</v>
      </c>
      <c r="C51" s="14">
        <f>IF('User Inputs'!$E$13&gt;=B51,C$10,0)</f>
        <v>0</v>
      </c>
    </row>
    <row r="52" spans="1:3" x14ac:dyDescent="0.25">
      <c r="A52" s="4" t="s">
        <v>42</v>
      </c>
      <c r="B52" s="33">
        <v>38</v>
      </c>
      <c r="C52" s="14">
        <f>IF('User Inputs'!$E$13&gt;=B52,C$10,0)</f>
        <v>0</v>
      </c>
    </row>
    <row r="53" spans="1:3" x14ac:dyDescent="0.25">
      <c r="A53" s="4" t="s">
        <v>42</v>
      </c>
      <c r="B53" s="33">
        <v>39</v>
      </c>
      <c r="C53" s="14">
        <f>IF('User Inputs'!$E$13&gt;=B53,C$10,0)</f>
        <v>0</v>
      </c>
    </row>
    <row r="54" spans="1:3" x14ac:dyDescent="0.25">
      <c r="A54" s="4" t="s">
        <v>42</v>
      </c>
      <c r="B54" s="33">
        <v>40</v>
      </c>
      <c r="C54" s="14">
        <f>IF('User Inputs'!$E$13&gt;=B54,C$10,0)</f>
        <v>0</v>
      </c>
    </row>
  </sheetData>
  <sheetProtection password="EF95" sheet="1" objects="1" scenarios="1"/>
  <mergeCells count="1">
    <mergeCell ref="A13:B13"/>
  </mergeCells>
  <pageMargins left="0.25" right="0.25" top="0.75" bottom="0.75" header="0.3" footer="0.3"/>
  <pageSetup orientation="landscape" r:id="rId1"/>
  <headerFooter>
    <oddHeader xml:space="preserve">&amp;CDebt Repayment
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3"/>
  <sheetViews>
    <sheetView view="pageLayout" zoomScaleNormal="100" workbookViewId="0"/>
  </sheetViews>
  <sheetFormatPr defaultRowHeight="15" x14ac:dyDescent="0.25"/>
  <cols>
    <col min="1" max="1" width="24.28515625" customWidth="1"/>
    <col min="2" max="2" width="2.85546875" bestFit="1" customWidth="1"/>
    <col min="3" max="3" width="13.42578125" bestFit="1" customWidth="1"/>
    <col min="4" max="4" width="12.5703125" bestFit="1" customWidth="1"/>
    <col min="5" max="5" width="14.28515625" bestFit="1" customWidth="1"/>
    <col min="6" max="6" width="12.5703125" bestFit="1" customWidth="1"/>
    <col min="7" max="7" width="8.7109375" style="9" customWidth="1"/>
    <col min="8" max="8" width="28.42578125" customWidth="1"/>
    <col min="9" max="9" width="2.28515625" bestFit="1" customWidth="1"/>
    <col min="10" max="10" width="13.85546875" customWidth="1"/>
  </cols>
  <sheetData>
    <row r="1" spans="1:10" x14ac:dyDescent="0.25">
      <c r="A1" s="17"/>
      <c r="B1" s="73"/>
    </row>
    <row r="2" spans="1:10" ht="24.75" x14ac:dyDescent="0.25">
      <c r="A2" s="115" t="s">
        <v>92</v>
      </c>
      <c r="B2" s="2"/>
      <c r="C2" s="201" t="str">
        <f>IF(('Manual RORO'!B6+'Manual RORO'!B4)&lt;1," ",'RORO Service Overview'!B1)</f>
        <v>&lt;100 Pax, &lt;10 Veh</v>
      </c>
      <c r="D2" s="201" t="str">
        <f>IF(('Manual RORO'!C6+'Manual RORO'!C4)&lt;1," ",'RORO Service Overview'!C1)</f>
        <v xml:space="preserve"> &lt;500 Pax, &lt;10 Veh</v>
      </c>
      <c r="E2" s="201" t="str">
        <f>IF(('Manual RORO'!D6+'Manual RORO'!D4)&lt;1," ",'RORO Service Overview'!D1)</f>
        <v xml:space="preserve"> </v>
      </c>
      <c r="F2" s="201" t="str">
        <f>IF(('Manual RORO'!E6+'Manual RORO'!E4)&lt;1," ",'RORO Service Overview'!E1)</f>
        <v xml:space="preserve"> </v>
      </c>
      <c r="G2" s="250"/>
      <c r="H2" s="9"/>
      <c r="I2" s="9"/>
      <c r="J2" s="9"/>
    </row>
    <row r="3" spans="1:10" x14ac:dyDescent="0.25">
      <c r="A3" s="48" t="s">
        <v>29</v>
      </c>
      <c r="B3" s="74"/>
      <c r="C3" s="13">
        <f>'Manual RORO'!B39</f>
        <v>240</v>
      </c>
      <c r="D3" s="13">
        <f>'Manual RORO'!C39</f>
        <v>2940</v>
      </c>
      <c r="E3" s="13">
        <f>'Manual RORO'!D39</f>
        <v>0</v>
      </c>
      <c r="F3" s="13">
        <f>'Manual RORO'!E39</f>
        <v>0</v>
      </c>
      <c r="G3" s="299"/>
      <c r="H3" s="9"/>
      <c r="I3" s="9"/>
      <c r="J3" s="266"/>
    </row>
    <row r="4" spans="1:10" x14ac:dyDescent="0.25">
      <c r="A4" s="30" t="s">
        <v>34</v>
      </c>
      <c r="B4" s="34" t="s">
        <v>142</v>
      </c>
      <c r="C4" s="14">
        <f>+'Vessel Data'!K37*C3*'User Inputs'!$E5</f>
        <v>16218.45</v>
      </c>
      <c r="D4" s="14">
        <f>+'Vessel Data'!L37*D3*'User Inputs'!$E5</f>
        <v>307628.73749999999</v>
      </c>
      <c r="E4" s="14">
        <f>+'Vessel Data'!M37*E3*'User Inputs'!$E5</f>
        <v>0</v>
      </c>
      <c r="F4" s="14">
        <f>+'Vessel Data'!N37*F3*'User Inputs'!$E5</f>
        <v>0</v>
      </c>
      <c r="G4" s="104"/>
      <c r="H4" s="9"/>
      <c r="I4" s="9"/>
      <c r="J4" s="266"/>
    </row>
    <row r="5" spans="1:10" x14ac:dyDescent="0.25">
      <c r="A5" s="30" t="s">
        <v>2</v>
      </c>
      <c r="B5" s="34" t="s">
        <v>142</v>
      </c>
      <c r="C5" s="14">
        <f>AVERAGE('Vessel Data'!K39:K40)*C3</f>
        <v>8944.6679588571442</v>
      </c>
      <c r="D5" s="14">
        <f>AVERAGE('Vessel Data'!L39:L40)*D3</f>
        <v>353328.03006967751</v>
      </c>
      <c r="E5" s="14">
        <f>AVERAGE('Vessel Data'!M39:M40)*E3</f>
        <v>0</v>
      </c>
      <c r="F5" s="14">
        <f>AVERAGE('Vessel Data'!N39:N40)*F3</f>
        <v>0</v>
      </c>
      <c r="G5" s="104"/>
      <c r="H5" s="9"/>
      <c r="I5" s="9"/>
      <c r="J5" s="266"/>
    </row>
    <row r="6" spans="1:10" x14ac:dyDescent="0.25">
      <c r="A6" s="108" t="s">
        <v>3</v>
      </c>
      <c r="B6" s="109" t="s">
        <v>143</v>
      </c>
      <c r="C6" s="110">
        <f>IF(C3&gt;0,(-'Manual Capital RORO'!C6*0.021+'Vessel Data'!K42*C3)*(1+0.02*'User Inputs'!$E23),0)</f>
        <v>52034.140656452844</v>
      </c>
      <c r="D6" s="110">
        <f>IF(D3&gt;0,(-'Manual Capital RORO'!D6*0.021+'Vessel Data'!L42*D3)*(1+0.02*'User Inputs'!$E23),0)</f>
        <v>149758.6330482857</v>
      </c>
      <c r="E6" s="110">
        <f>IF(E3&gt;0,(-'Manual Capital RORO'!E6*0.021+'Vessel Data'!M42*E3)*(1+0.02*'User Inputs'!$E23),0)</f>
        <v>0</v>
      </c>
      <c r="F6" s="110">
        <f>IF(F3&gt;0,(-'Manual Capital RORO'!F6*0.021+'Vessel Data'!N42*F3)*(1+0.02*'User Inputs'!$E23),0)</f>
        <v>0</v>
      </c>
      <c r="G6" s="168"/>
      <c r="H6" s="9"/>
      <c r="I6" s="9"/>
      <c r="J6" s="308"/>
    </row>
    <row r="7" spans="1:10" x14ac:dyDescent="0.25">
      <c r="A7" s="108" t="s">
        <v>38</v>
      </c>
      <c r="B7" s="109" t="s">
        <v>144</v>
      </c>
      <c r="C7" s="110">
        <f>IF(C3&gt;0,'Manual Capital RORO'!C6*-0.02+'User Inputs'!$B23*0.35,0)</f>
        <v>92232.452830188675</v>
      </c>
      <c r="D7" s="110">
        <f>IF(D3&gt;0,'Manual Capital RORO'!D6*-0.02+'User Inputs'!$B23*0.35,0)</f>
        <v>173163.67346938775</v>
      </c>
      <c r="E7" s="110">
        <f>IF(E3&gt;0,'Manual Capital RORO'!E6*-0.02+'User Inputs'!$B23*0.35,0)</f>
        <v>0</v>
      </c>
      <c r="F7" s="110">
        <f>IF(F3&gt;0,'Manual Capital RORO'!F6*-0.02+'User Inputs'!$B23*0.35,0)</f>
        <v>0</v>
      </c>
      <c r="G7" s="168"/>
      <c r="H7" s="9"/>
      <c r="I7" s="9"/>
      <c r="J7" s="308"/>
    </row>
    <row r="8" spans="1:10" ht="30" x14ac:dyDescent="0.25">
      <c r="A8" s="111" t="s">
        <v>39</v>
      </c>
      <c r="B8" s="112" t="s">
        <v>143</v>
      </c>
      <c r="C8" s="110">
        <f>IF(C3&gt;0,IF('User Inputs'!$B2="New Service",'User Inputs'!$B23*'User Inputs'!$E$15+70000, 'User Inputs'!$B23*'User Inputs'!$E$15),0)</f>
        <v>154240</v>
      </c>
      <c r="D8" s="110">
        <f>IF(AND(D3&gt;0,C8&lt;1),IF('User Inputs'!$B2="New Service",'User Inputs'!$B23*'User Inputs'!$E$15+70000, 'User Inputs'!$B23*'User Inputs'!$E$15),0)</f>
        <v>0</v>
      </c>
      <c r="E8" s="110">
        <f>IF(AND(E3&gt;0,SUM(C8:D8)&lt;1),IF('User Inputs'!$B2="New Service",'User Inputs'!$B23*'User Inputs'!$E$15+70000, 'User Inputs'!$B23*'User Inputs'!$E$15),0)</f>
        <v>0</v>
      </c>
      <c r="F8" s="110">
        <f>IF(AND(F3&gt;0,SUM(C8:E8)&lt;1),IF('User Inputs'!$B2="New Service",'User Inputs'!$B23*'User Inputs'!$E$15+70000, 'User Inputs'!$B23*'User Inputs'!$E$15),0)</f>
        <v>0</v>
      </c>
      <c r="G8" s="168"/>
      <c r="H8" s="9"/>
      <c r="I8" s="9"/>
      <c r="J8" s="308"/>
    </row>
    <row r="9" spans="1:10" ht="30" x14ac:dyDescent="0.25">
      <c r="A9" s="65" t="s">
        <v>163</v>
      </c>
      <c r="B9" s="77"/>
      <c r="C9" s="15">
        <f>ROUND(SUM(C4:C8),-3)</f>
        <v>324000</v>
      </c>
      <c r="D9" s="15">
        <f t="shared" ref="D9:F9" si="0">ROUND(SUM(D4:D8),-3)</f>
        <v>984000</v>
      </c>
      <c r="E9" s="15">
        <f t="shared" si="0"/>
        <v>0</v>
      </c>
      <c r="F9" s="15">
        <f t="shared" si="0"/>
        <v>0</v>
      </c>
      <c r="G9" s="307"/>
      <c r="H9" s="9"/>
      <c r="I9" s="9"/>
      <c r="J9" s="266"/>
    </row>
    <row r="10" spans="1:10" ht="30" x14ac:dyDescent="0.25">
      <c r="A10" s="67" t="s">
        <v>52</v>
      </c>
      <c r="B10" s="78"/>
      <c r="C10" s="14">
        <f>IF(C3&gt;0,C15/C3," ")</f>
        <v>1350</v>
      </c>
      <c r="D10" s="14">
        <f t="shared" ref="D10:F10" si="1">IF(D3&gt;0,D15/D3," ")</f>
        <v>334.69387755102042</v>
      </c>
      <c r="E10" s="14" t="str">
        <f t="shared" si="1"/>
        <v xml:space="preserve"> </v>
      </c>
      <c r="F10" s="14" t="str">
        <f t="shared" si="1"/>
        <v xml:space="preserve"> </v>
      </c>
      <c r="G10" s="104"/>
      <c r="H10" s="9"/>
      <c r="I10" s="9"/>
      <c r="J10" s="266"/>
    </row>
    <row r="11" spans="1:10" ht="30" x14ac:dyDescent="0.25">
      <c r="A11" s="66" t="s">
        <v>53</v>
      </c>
      <c r="B11" s="79"/>
      <c r="C11" s="32">
        <f>IF(C3&gt;0,C15/'RORO Service Overview'!$B13," ")</f>
        <v>284.21052631578948</v>
      </c>
      <c r="D11" s="32">
        <f>IF(D3&gt;0,D15/'RORO Service Overview'!$B13," ")</f>
        <v>863.15789473684208</v>
      </c>
      <c r="E11" s="32" t="str">
        <f>IF(E3&gt;0,E15/'RORO Service Overview'!$B13," ")</f>
        <v xml:space="preserve"> </v>
      </c>
      <c r="F11" s="32" t="str">
        <f>IF(F3&gt;0,F15/'RORO Service Overview'!$B13," ")</f>
        <v xml:space="preserve"> </v>
      </c>
      <c r="G11" s="307"/>
      <c r="H11" s="9"/>
      <c r="I11" s="9"/>
      <c r="J11" s="266"/>
    </row>
    <row r="12" spans="1:10" ht="9" customHeight="1" x14ac:dyDescent="0.25">
      <c r="H12" s="9"/>
      <c r="I12" s="9"/>
      <c r="J12" s="9"/>
    </row>
    <row r="13" spans="1:10" ht="30" x14ac:dyDescent="0.25">
      <c r="A13" s="38" t="s">
        <v>75</v>
      </c>
      <c r="B13" s="34"/>
      <c r="C13" s="37"/>
      <c r="D13" s="37"/>
      <c r="E13" s="35"/>
      <c r="F13" s="35"/>
      <c r="G13" s="104"/>
      <c r="H13" s="9"/>
      <c r="I13" s="9"/>
      <c r="J13" s="9"/>
    </row>
    <row r="14" spans="1:10" x14ac:dyDescent="0.25">
      <c r="A14" s="4" t="s">
        <v>42</v>
      </c>
      <c r="B14" s="33">
        <v>0</v>
      </c>
      <c r="C14" s="14">
        <f t="shared" ref="C14:F39" si="2">ROUND(C57+C100+C143,-3)</f>
        <v>0</v>
      </c>
      <c r="D14" s="14">
        <f t="shared" si="2"/>
        <v>0</v>
      </c>
      <c r="E14" s="14">
        <f t="shared" si="2"/>
        <v>0</v>
      </c>
      <c r="F14" s="14">
        <f t="shared" si="2"/>
        <v>0</v>
      </c>
      <c r="G14" s="104"/>
    </row>
    <row r="15" spans="1:10" x14ac:dyDescent="0.25">
      <c r="A15" s="4" t="s">
        <v>42</v>
      </c>
      <c r="B15" s="33">
        <v>1</v>
      </c>
      <c r="C15" s="14">
        <f t="shared" si="2"/>
        <v>324000</v>
      </c>
      <c r="D15" s="14">
        <f t="shared" si="2"/>
        <v>984000</v>
      </c>
      <c r="E15" s="14">
        <f t="shared" si="2"/>
        <v>0</v>
      </c>
      <c r="F15" s="14">
        <f t="shared" si="2"/>
        <v>0</v>
      </c>
      <c r="G15" s="104"/>
    </row>
    <row r="16" spans="1:10" x14ac:dyDescent="0.25">
      <c r="A16" s="4" t="s">
        <v>42</v>
      </c>
      <c r="B16" s="33">
        <v>2</v>
      </c>
      <c r="C16" s="14">
        <f t="shared" si="2"/>
        <v>332000</v>
      </c>
      <c r="D16" s="14">
        <f t="shared" si="2"/>
        <v>1035000</v>
      </c>
      <c r="E16" s="14">
        <f t="shared" si="2"/>
        <v>0</v>
      </c>
      <c r="F16" s="14">
        <f t="shared" si="2"/>
        <v>0</v>
      </c>
      <c r="G16" s="104"/>
    </row>
    <row r="17" spans="1:7" x14ac:dyDescent="0.25">
      <c r="A17" s="4" t="s">
        <v>42</v>
      </c>
      <c r="B17" s="33">
        <v>3</v>
      </c>
      <c r="C17" s="14">
        <f t="shared" si="2"/>
        <v>340000</v>
      </c>
      <c r="D17" s="14">
        <f t="shared" si="2"/>
        <v>1090000</v>
      </c>
      <c r="E17" s="14">
        <f t="shared" si="2"/>
        <v>0</v>
      </c>
      <c r="F17" s="14">
        <f t="shared" si="2"/>
        <v>0</v>
      </c>
      <c r="G17" s="104"/>
    </row>
    <row r="18" spans="1:7" x14ac:dyDescent="0.25">
      <c r="A18" s="4" t="s">
        <v>42</v>
      </c>
      <c r="B18" s="33">
        <v>4</v>
      </c>
      <c r="C18" s="14">
        <f t="shared" si="2"/>
        <v>349000</v>
      </c>
      <c r="D18" s="14">
        <f t="shared" si="2"/>
        <v>1149000</v>
      </c>
      <c r="E18" s="14">
        <f t="shared" si="2"/>
        <v>0</v>
      </c>
      <c r="F18" s="14">
        <f t="shared" si="2"/>
        <v>0</v>
      </c>
      <c r="G18" s="104"/>
    </row>
    <row r="19" spans="1:7" x14ac:dyDescent="0.25">
      <c r="A19" s="4" t="s">
        <v>42</v>
      </c>
      <c r="B19" s="33">
        <v>5</v>
      </c>
      <c r="C19" s="14">
        <f t="shared" si="2"/>
        <v>358000</v>
      </c>
      <c r="D19" s="14">
        <f t="shared" si="2"/>
        <v>1213000</v>
      </c>
      <c r="E19" s="14">
        <f t="shared" si="2"/>
        <v>0</v>
      </c>
      <c r="F19" s="14">
        <f t="shared" si="2"/>
        <v>0</v>
      </c>
      <c r="G19" s="104"/>
    </row>
    <row r="20" spans="1:7" x14ac:dyDescent="0.25">
      <c r="A20" s="4" t="s">
        <v>42</v>
      </c>
      <c r="B20" s="33">
        <v>6</v>
      </c>
      <c r="C20" s="14">
        <f t="shared" si="2"/>
        <v>368000</v>
      </c>
      <c r="D20" s="14">
        <f t="shared" si="2"/>
        <v>1282000</v>
      </c>
      <c r="E20" s="14">
        <f t="shared" si="2"/>
        <v>0</v>
      </c>
      <c r="F20" s="14">
        <f t="shared" si="2"/>
        <v>0</v>
      </c>
      <c r="G20" s="104"/>
    </row>
    <row r="21" spans="1:7" x14ac:dyDescent="0.25">
      <c r="A21" s="4" t="s">
        <v>42</v>
      </c>
      <c r="B21" s="33">
        <v>7</v>
      </c>
      <c r="C21" s="14">
        <f t="shared" si="2"/>
        <v>377000</v>
      </c>
      <c r="D21" s="14">
        <f t="shared" si="2"/>
        <v>1356000</v>
      </c>
      <c r="E21" s="14">
        <f t="shared" si="2"/>
        <v>0</v>
      </c>
      <c r="F21" s="14">
        <f t="shared" si="2"/>
        <v>0</v>
      </c>
      <c r="G21" s="104"/>
    </row>
    <row r="22" spans="1:7" x14ac:dyDescent="0.25">
      <c r="A22" s="4" t="s">
        <v>42</v>
      </c>
      <c r="B22" s="33">
        <v>8</v>
      </c>
      <c r="C22" s="14">
        <f t="shared" si="2"/>
        <v>387000</v>
      </c>
      <c r="D22" s="14">
        <f t="shared" si="2"/>
        <v>1437000</v>
      </c>
      <c r="E22" s="14">
        <f t="shared" si="2"/>
        <v>0</v>
      </c>
      <c r="F22" s="14">
        <f t="shared" si="2"/>
        <v>0</v>
      </c>
      <c r="G22" s="104"/>
    </row>
    <row r="23" spans="1:7" x14ac:dyDescent="0.25">
      <c r="A23" s="4" t="s">
        <v>42</v>
      </c>
      <c r="B23" s="33">
        <v>9</v>
      </c>
      <c r="C23" s="14">
        <f t="shared" si="2"/>
        <v>398000</v>
      </c>
      <c r="D23" s="14">
        <f t="shared" si="2"/>
        <v>1524000</v>
      </c>
      <c r="E23" s="14">
        <f t="shared" si="2"/>
        <v>0</v>
      </c>
      <c r="F23" s="14">
        <f t="shared" si="2"/>
        <v>0</v>
      </c>
      <c r="G23" s="104"/>
    </row>
    <row r="24" spans="1:7" x14ac:dyDescent="0.25">
      <c r="A24" s="4" t="s">
        <v>42</v>
      </c>
      <c r="B24" s="33">
        <v>10</v>
      </c>
      <c r="C24" s="14">
        <f t="shared" si="2"/>
        <v>408000</v>
      </c>
      <c r="D24" s="14">
        <f t="shared" si="2"/>
        <v>1619000</v>
      </c>
      <c r="E24" s="14">
        <f t="shared" si="2"/>
        <v>0</v>
      </c>
      <c r="F24" s="14">
        <f t="shared" si="2"/>
        <v>0</v>
      </c>
      <c r="G24" s="104"/>
    </row>
    <row r="25" spans="1:7" x14ac:dyDescent="0.25">
      <c r="A25" s="4" t="s">
        <v>42</v>
      </c>
      <c r="B25" s="33">
        <v>11</v>
      </c>
      <c r="C25" s="14">
        <f t="shared" si="2"/>
        <v>420000</v>
      </c>
      <c r="D25" s="14">
        <f t="shared" si="2"/>
        <v>1722000</v>
      </c>
      <c r="E25" s="14">
        <f t="shared" si="2"/>
        <v>0</v>
      </c>
      <c r="F25" s="14">
        <f t="shared" si="2"/>
        <v>0</v>
      </c>
      <c r="G25" s="104"/>
    </row>
    <row r="26" spans="1:7" x14ac:dyDescent="0.25">
      <c r="A26" s="4" t="s">
        <v>42</v>
      </c>
      <c r="B26" s="33">
        <v>12</v>
      </c>
      <c r="C26" s="14">
        <f t="shared" si="2"/>
        <v>431000</v>
      </c>
      <c r="D26" s="14">
        <f t="shared" si="2"/>
        <v>1833000</v>
      </c>
      <c r="E26" s="14">
        <f t="shared" si="2"/>
        <v>0</v>
      </c>
      <c r="F26" s="14">
        <f t="shared" si="2"/>
        <v>0</v>
      </c>
      <c r="G26" s="104"/>
    </row>
    <row r="27" spans="1:7" x14ac:dyDescent="0.25">
      <c r="A27" s="4" t="s">
        <v>42</v>
      </c>
      <c r="B27" s="33">
        <v>13</v>
      </c>
      <c r="C27" s="14">
        <f t="shared" si="2"/>
        <v>443000</v>
      </c>
      <c r="D27" s="14">
        <f t="shared" si="2"/>
        <v>1954000</v>
      </c>
      <c r="E27" s="14">
        <f t="shared" si="2"/>
        <v>0</v>
      </c>
      <c r="F27" s="14">
        <f t="shared" si="2"/>
        <v>0</v>
      </c>
      <c r="G27" s="104"/>
    </row>
    <row r="28" spans="1:7" x14ac:dyDescent="0.25">
      <c r="A28" s="4" t="s">
        <v>42</v>
      </c>
      <c r="B28" s="33">
        <v>14</v>
      </c>
      <c r="C28" s="14">
        <f t="shared" si="2"/>
        <v>456000</v>
      </c>
      <c r="D28" s="14">
        <f t="shared" si="2"/>
        <v>2086000</v>
      </c>
      <c r="E28" s="14">
        <f t="shared" si="2"/>
        <v>0</v>
      </c>
      <c r="F28" s="14">
        <f t="shared" si="2"/>
        <v>0</v>
      </c>
      <c r="G28" s="104"/>
    </row>
    <row r="29" spans="1:7" x14ac:dyDescent="0.25">
      <c r="A29" s="4" t="s">
        <v>42</v>
      </c>
      <c r="B29" s="33">
        <v>15</v>
      </c>
      <c r="C29" s="14">
        <f t="shared" si="2"/>
        <v>468000</v>
      </c>
      <c r="D29" s="14">
        <f t="shared" si="2"/>
        <v>2229000</v>
      </c>
      <c r="E29" s="14">
        <f t="shared" si="2"/>
        <v>0</v>
      </c>
      <c r="F29" s="14">
        <f t="shared" si="2"/>
        <v>0</v>
      </c>
      <c r="G29" s="104"/>
    </row>
    <row r="30" spans="1:7" x14ac:dyDescent="0.25">
      <c r="A30" s="4" t="s">
        <v>42</v>
      </c>
      <c r="B30" s="33">
        <v>16</v>
      </c>
      <c r="C30" s="14">
        <f t="shared" si="2"/>
        <v>482000</v>
      </c>
      <c r="D30" s="14">
        <f t="shared" si="2"/>
        <v>2385000</v>
      </c>
      <c r="E30" s="14">
        <f t="shared" si="2"/>
        <v>0</v>
      </c>
      <c r="F30" s="14">
        <f t="shared" si="2"/>
        <v>0</v>
      </c>
      <c r="G30" s="104"/>
    </row>
    <row r="31" spans="1:7" x14ac:dyDescent="0.25">
      <c r="A31" s="4" t="s">
        <v>42</v>
      </c>
      <c r="B31" s="33">
        <v>17</v>
      </c>
      <c r="C31" s="14">
        <f t="shared" si="2"/>
        <v>496000</v>
      </c>
      <c r="D31" s="14">
        <f t="shared" si="2"/>
        <v>2555000</v>
      </c>
      <c r="E31" s="14">
        <f t="shared" si="2"/>
        <v>0</v>
      </c>
      <c r="F31" s="14">
        <f t="shared" si="2"/>
        <v>0</v>
      </c>
      <c r="G31" s="104"/>
    </row>
    <row r="32" spans="1:7" x14ac:dyDescent="0.25">
      <c r="A32" s="4" t="s">
        <v>42</v>
      </c>
      <c r="B32" s="33">
        <v>18</v>
      </c>
      <c r="C32" s="14">
        <f t="shared" si="2"/>
        <v>511000</v>
      </c>
      <c r="D32" s="14">
        <f t="shared" si="2"/>
        <v>2740000</v>
      </c>
      <c r="E32" s="14">
        <f t="shared" si="2"/>
        <v>0</v>
      </c>
      <c r="F32" s="14">
        <f t="shared" si="2"/>
        <v>0</v>
      </c>
      <c r="G32" s="104"/>
    </row>
    <row r="33" spans="1:7" x14ac:dyDescent="0.25">
      <c r="A33" s="4" t="s">
        <v>42</v>
      </c>
      <c r="B33" s="33">
        <v>19</v>
      </c>
      <c r="C33" s="14">
        <f t="shared" si="2"/>
        <v>526000</v>
      </c>
      <c r="D33" s="14">
        <f t="shared" si="2"/>
        <v>2942000</v>
      </c>
      <c r="E33" s="14">
        <f t="shared" si="2"/>
        <v>0</v>
      </c>
      <c r="F33" s="14">
        <f t="shared" si="2"/>
        <v>0</v>
      </c>
      <c r="G33" s="104"/>
    </row>
    <row r="34" spans="1:7" x14ac:dyDescent="0.25">
      <c r="A34" s="4" t="s">
        <v>42</v>
      </c>
      <c r="B34" s="33">
        <v>20</v>
      </c>
      <c r="C34" s="14">
        <f t="shared" si="2"/>
        <v>542000</v>
      </c>
      <c r="D34" s="14">
        <f t="shared" si="2"/>
        <v>3162000</v>
      </c>
      <c r="E34" s="14">
        <f t="shared" si="2"/>
        <v>0</v>
      </c>
      <c r="F34" s="14">
        <f t="shared" si="2"/>
        <v>0</v>
      </c>
      <c r="G34" s="104"/>
    </row>
    <row r="35" spans="1:7" x14ac:dyDescent="0.25">
      <c r="A35" s="4" t="s">
        <v>42</v>
      </c>
      <c r="B35" s="33">
        <v>21</v>
      </c>
      <c r="C35" s="14">
        <f t="shared" si="2"/>
        <v>559000</v>
      </c>
      <c r="D35" s="14">
        <f t="shared" si="2"/>
        <v>3403000</v>
      </c>
      <c r="E35" s="14">
        <f t="shared" si="2"/>
        <v>0</v>
      </c>
      <c r="F35" s="14">
        <f t="shared" si="2"/>
        <v>0</v>
      </c>
      <c r="G35" s="104"/>
    </row>
    <row r="36" spans="1:7" x14ac:dyDescent="0.25">
      <c r="A36" s="4" t="s">
        <v>42</v>
      </c>
      <c r="B36" s="33">
        <v>22</v>
      </c>
      <c r="C36" s="14">
        <f t="shared" si="2"/>
        <v>576000</v>
      </c>
      <c r="D36" s="14">
        <f t="shared" si="2"/>
        <v>3666000</v>
      </c>
      <c r="E36" s="14">
        <f t="shared" si="2"/>
        <v>0</v>
      </c>
      <c r="F36" s="14">
        <f t="shared" si="2"/>
        <v>0</v>
      </c>
      <c r="G36" s="104"/>
    </row>
    <row r="37" spans="1:7" x14ac:dyDescent="0.25">
      <c r="A37" s="4" t="s">
        <v>42</v>
      </c>
      <c r="B37" s="33">
        <v>23</v>
      </c>
      <c r="C37" s="14">
        <f t="shared" si="2"/>
        <v>595000</v>
      </c>
      <c r="D37" s="14">
        <f t="shared" si="2"/>
        <v>3953000</v>
      </c>
      <c r="E37" s="14">
        <f t="shared" si="2"/>
        <v>0</v>
      </c>
      <c r="F37" s="14">
        <f t="shared" si="2"/>
        <v>0</v>
      </c>
      <c r="G37" s="104"/>
    </row>
    <row r="38" spans="1:7" x14ac:dyDescent="0.25">
      <c r="A38" s="4" t="s">
        <v>42</v>
      </c>
      <c r="B38" s="33">
        <v>24</v>
      </c>
      <c r="C38" s="14">
        <f t="shared" si="2"/>
        <v>614000</v>
      </c>
      <c r="D38" s="14">
        <f t="shared" si="2"/>
        <v>4267000</v>
      </c>
      <c r="E38" s="14">
        <f t="shared" si="2"/>
        <v>0</v>
      </c>
      <c r="F38" s="14">
        <f t="shared" si="2"/>
        <v>0</v>
      </c>
      <c r="G38" s="104"/>
    </row>
    <row r="39" spans="1:7" x14ac:dyDescent="0.25">
      <c r="A39" s="4" t="s">
        <v>42</v>
      </c>
      <c r="B39" s="33">
        <v>25</v>
      </c>
      <c r="C39" s="14">
        <f t="shared" si="2"/>
        <v>634000</v>
      </c>
      <c r="D39" s="14">
        <f t="shared" si="2"/>
        <v>4610000</v>
      </c>
      <c r="E39" s="14">
        <f t="shared" si="2"/>
        <v>0</v>
      </c>
      <c r="F39" s="14">
        <f t="shared" si="2"/>
        <v>0</v>
      </c>
      <c r="G39" s="104"/>
    </row>
    <row r="40" spans="1:7" x14ac:dyDescent="0.25">
      <c r="A40" s="4" t="s">
        <v>42</v>
      </c>
      <c r="B40" s="33">
        <v>26</v>
      </c>
      <c r="C40" s="14">
        <f t="shared" ref="C40:F40" si="3">ROUND(C83+C126+C169,-3)</f>
        <v>656000</v>
      </c>
      <c r="D40" s="14">
        <f t="shared" si="3"/>
        <v>4986000</v>
      </c>
      <c r="E40" s="14">
        <f t="shared" si="3"/>
        <v>0</v>
      </c>
      <c r="F40" s="14">
        <f t="shared" si="3"/>
        <v>0</v>
      </c>
      <c r="G40" s="104"/>
    </row>
    <row r="41" spans="1:7" x14ac:dyDescent="0.25">
      <c r="A41" s="4" t="s">
        <v>42</v>
      </c>
      <c r="B41" s="33">
        <v>27</v>
      </c>
      <c r="C41" s="14">
        <f t="shared" ref="C41:F41" si="4">ROUND(C84+C127+C170,-3)</f>
        <v>679000</v>
      </c>
      <c r="D41" s="14">
        <f t="shared" si="4"/>
        <v>5397000</v>
      </c>
      <c r="E41" s="14">
        <f t="shared" si="4"/>
        <v>0</v>
      </c>
      <c r="F41" s="14">
        <f t="shared" si="4"/>
        <v>0</v>
      </c>
      <c r="G41" s="104"/>
    </row>
    <row r="42" spans="1:7" x14ac:dyDescent="0.25">
      <c r="A42" s="4" t="s">
        <v>42</v>
      </c>
      <c r="B42" s="33">
        <v>28</v>
      </c>
      <c r="C42" s="14">
        <f t="shared" ref="C42:F42" si="5">ROUND(C85+C128+C171,-3)</f>
        <v>702000</v>
      </c>
      <c r="D42" s="14">
        <f t="shared" si="5"/>
        <v>5846000</v>
      </c>
      <c r="E42" s="14">
        <f t="shared" si="5"/>
        <v>0</v>
      </c>
      <c r="F42" s="14">
        <f t="shared" si="5"/>
        <v>0</v>
      </c>
      <c r="G42" s="104"/>
    </row>
    <row r="43" spans="1:7" x14ac:dyDescent="0.25">
      <c r="A43" s="4" t="s">
        <v>42</v>
      </c>
      <c r="B43" s="33">
        <v>29</v>
      </c>
      <c r="C43" s="14">
        <f t="shared" ref="C43:F43" si="6">ROUND(C86+C129+C172,-3)</f>
        <v>728000</v>
      </c>
      <c r="D43" s="14">
        <f t="shared" si="6"/>
        <v>6339000</v>
      </c>
      <c r="E43" s="14">
        <f t="shared" si="6"/>
        <v>0</v>
      </c>
      <c r="F43" s="14">
        <f t="shared" si="6"/>
        <v>0</v>
      </c>
      <c r="G43" s="104"/>
    </row>
    <row r="44" spans="1:7" x14ac:dyDescent="0.25">
      <c r="A44" s="4" t="s">
        <v>42</v>
      </c>
      <c r="B44" s="33">
        <v>30</v>
      </c>
      <c r="C44" s="14">
        <f t="shared" ref="C44:F44" si="7">ROUND(C87+C130+C173,-3)</f>
        <v>754000</v>
      </c>
      <c r="D44" s="14">
        <f t="shared" si="7"/>
        <v>6879000</v>
      </c>
      <c r="E44" s="14">
        <f t="shared" si="7"/>
        <v>0</v>
      </c>
      <c r="F44" s="14">
        <f t="shared" si="7"/>
        <v>0</v>
      </c>
      <c r="G44" s="104"/>
    </row>
    <row r="45" spans="1:7" x14ac:dyDescent="0.25">
      <c r="A45" s="4" t="s">
        <v>42</v>
      </c>
      <c r="B45" s="33">
        <v>31</v>
      </c>
      <c r="C45" s="14">
        <f t="shared" ref="C45:F45" si="8">ROUND(C88+C131+C174,-3)</f>
        <v>783000</v>
      </c>
      <c r="D45" s="14">
        <f t="shared" si="8"/>
        <v>7470000</v>
      </c>
      <c r="E45" s="14">
        <f t="shared" si="8"/>
        <v>0</v>
      </c>
      <c r="F45" s="14">
        <f t="shared" si="8"/>
        <v>0</v>
      </c>
      <c r="G45" s="104"/>
    </row>
    <row r="46" spans="1:7" x14ac:dyDescent="0.25">
      <c r="A46" s="4" t="s">
        <v>42</v>
      </c>
      <c r="B46" s="33">
        <v>32</v>
      </c>
      <c r="C46" s="14">
        <f t="shared" ref="C46:F46" si="9">ROUND(C89+C132+C175,-3)</f>
        <v>813000</v>
      </c>
      <c r="D46" s="14">
        <f t="shared" si="9"/>
        <v>8118000</v>
      </c>
      <c r="E46" s="14">
        <f t="shared" si="9"/>
        <v>0</v>
      </c>
      <c r="F46" s="14">
        <f t="shared" si="9"/>
        <v>0</v>
      </c>
      <c r="G46" s="104"/>
    </row>
    <row r="47" spans="1:7" x14ac:dyDescent="0.25">
      <c r="A47" s="4" t="s">
        <v>42</v>
      </c>
      <c r="B47" s="33">
        <v>33</v>
      </c>
      <c r="C47" s="14">
        <f t="shared" ref="C47:F47" si="10">ROUND(C90+C133+C176,-3)</f>
        <v>845000</v>
      </c>
      <c r="D47" s="14">
        <f t="shared" si="10"/>
        <v>8829000</v>
      </c>
      <c r="E47" s="14">
        <f t="shared" si="10"/>
        <v>0</v>
      </c>
      <c r="F47" s="14">
        <f t="shared" si="10"/>
        <v>0</v>
      </c>
      <c r="G47" s="104"/>
    </row>
    <row r="48" spans="1:7" x14ac:dyDescent="0.25">
      <c r="A48" s="4" t="s">
        <v>42</v>
      </c>
      <c r="B48" s="33">
        <v>34</v>
      </c>
      <c r="C48" s="14">
        <f t="shared" ref="C48:F48" si="11">ROUND(C91+C134+C177,-3)</f>
        <v>879000</v>
      </c>
      <c r="D48" s="14">
        <f t="shared" si="11"/>
        <v>9608000</v>
      </c>
      <c r="E48" s="14">
        <f t="shared" si="11"/>
        <v>0</v>
      </c>
      <c r="F48" s="14">
        <f t="shared" si="11"/>
        <v>0</v>
      </c>
      <c r="G48" s="104"/>
    </row>
    <row r="49" spans="1:7" x14ac:dyDescent="0.25">
      <c r="A49" s="4" t="s">
        <v>42</v>
      </c>
      <c r="B49" s="33">
        <v>35</v>
      </c>
      <c r="C49" s="14">
        <f t="shared" ref="C49:F49" si="12">ROUND(C92+C135+C178,-3)</f>
        <v>915000</v>
      </c>
      <c r="D49" s="14">
        <f t="shared" si="12"/>
        <v>10463000</v>
      </c>
      <c r="E49" s="14">
        <f t="shared" si="12"/>
        <v>0</v>
      </c>
      <c r="F49" s="14">
        <f t="shared" si="12"/>
        <v>0</v>
      </c>
      <c r="G49" s="104"/>
    </row>
    <row r="50" spans="1:7" x14ac:dyDescent="0.25">
      <c r="A50" s="4" t="s">
        <v>42</v>
      </c>
      <c r="B50" s="33">
        <v>36</v>
      </c>
      <c r="C50" s="14">
        <f t="shared" ref="C50:F50" si="13">ROUND(C93+C136+C179,-3)</f>
        <v>954000</v>
      </c>
      <c r="D50" s="14">
        <f t="shared" si="13"/>
        <v>11400000</v>
      </c>
      <c r="E50" s="14">
        <f t="shared" si="13"/>
        <v>0</v>
      </c>
      <c r="F50" s="14">
        <f t="shared" si="13"/>
        <v>0</v>
      </c>
      <c r="G50" s="104"/>
    </row>
    <row r="51" spans="1:7" x14ac:dyDescent="0.25">
      <c r="A51" s="4" t="s">
        <v>42</v>
      </c>
      <c r="B51" s="33">
        <v>37</v>
      </c>
      <c r="C51" s="14">
        <f t="shared" ref="C51:F51" si="14">ROUND(C94+C137+C180,-3)</f>
        <v>995000</v>
      </c>
      <c r="D51" s="14">
        <f t="shared" si="14"/>
        <v>12429000</v>
      </c>
      <c r="E51" s="14">
        <f t="shared" si="14"/>
        <v>0</v>
      </c>
      <c r="F51" s="14">
        <f t="shared" si="14"/>
        <v>0</v>
      </c>
      <c r="G51" s="104"/>
    </row>
    <row r="52" spans="1:7" x14ac:dyDescent="0.25">
      <c r="A52" s="4" t="s">
        <v>42</v>
      </c>
      <c r="B52" s="33">
        <v>38</v>
      </c>
      <c r="C52" s="14">
        <f t="shared" ref="C52:F52" si="15">ROUND(C95+C138+C181,-3)</f>
        <v>1039000</v>
      </c>
      <c r="D52" s="14">
        <f t="shared" si="15"/>
        <v>13557000</v>
      </c>
      <c r="E52" s="14">
        <f t="shared" si="15"/>
        <v>0</v>
      </c>
      <c r="F52" s="14">
        <f t="shared" si="15"/>
        <v>0</v>
      </c>
      <c r="G52" s="104"/>
    </row>
    <row r="53" spans="1:7" x14ac:dyDescent="0.25">
      <c r="A53" s="4" t="s">
        <v>42</v>
      </c>
      <c r="B53" s="33">
        <v>39</v>
      </c>
      <c r="C53" s="14">
        <f t="shared" ref="C53:F53" si="16">ROUND(C96+C139+C182,-3)</f>
        <v>1086000</v>
      </c>
      <c r="D53" s="14">
        <f t="shared" si="16"/>
        <v>14796000</v>
      </c>
      <c r="E53" s="14">
        <f t="shared" si="16"/>
        <v>0</v>
      </c>
      <c r="F53" s="14">
        <f t="shared" si="16"/>
        <v>0</v>
      </c>
      <c r="G53" s="104"/>
    </row>
    <row r="54" spans="1:7" x14ac:dyDescent="0.25">
      <c r="A54" s="4" t="s">
        <v>42</v>
      </c>
      <c r="B54" s="33">
        <v>40</v>
      </c>
      <c r="C54" s="14">
        <f t="shared" ref="C54:F54" si="17">ROUND(C97+C140+C183,-3)</f>
        <v>1137000</v>
      </c>
      <c r="D54" s="14">
        <f t="shared" si="17"/>
        <v>16155000</v>
      </c>
      <c r="E54" s="14">
        <f t="shared" si="17"/>
        <v>0</v>
      </c>
      <c r="F54" s="14">
        <f t="shared" si="17"/>
        <v>0</v>
      </c>
      <c r="G54" s="104"/>
    </row>
    <row r="55" spans="1:7" s="9" customFormat="1" x14ac:dyDescent="0.25">
      <c r="A55" s="30"/>
      <c r="B55" s="34"/>
      <c r="C55" s="35"/>
      <c r="D55" s="104"/>
      <c r="E55" s="104"/>
      <c r="F55" s="104"/>
      <c r="G55" s="104"/>
    </row>
    <row r="56" spans="1:7" ht="30" x14ac:dyDescent="0.25">
      <c r="A56" s="38" t="s">
        <v>149</v>
      </c>
      <c r="B56" s="34"/>
      <c r="C56" s="37"/>
    </row>
    <row r="57" spans="1:7" x14ac:dyDescent="0.25">
      <c r="A57" s="4" t="s">
        <v>42</v>
      </c>
      <c r="B57" s="33">
        <v>0</v>
      </c>
      <c r="C57" s="14">
        <f>0</f>
        <v>0</v>
      </c>
      <c r="D57" s="14">
        <f>0</f>
        <v>0</v>
      </c>
      <c r="E57" s="14">
        <f>0</f>
        <v>0</v>
      </c>
      <c r="F57" s="14">
        <f>0</f>
        <v>0</v>
      </c>
      <c r="G57" s="104"/>
    </row>
    <row r="58" spans="1:7" x14ac:dyDescent="0.25">
      <c r="A58" s="4" t="s">
        <v>42</v>
      </c>
      <c r="B58" s="33">
        <v>1</v>
      </c>
      <c r="C58" s="14">
        <f>C$5+'Manual Oper Maint RORO'!C$4</f>
        <v>25163.117958857147</v>
      </c>
      <c r="D58" s="14">
        <f>D$5+'Manual Oper Maint RORO'!D$4</f>
        <v>660956.76756967744</v>
      </c>
      <c r="E58" s="14">
        <f>E$5+'Manual Oper Maint RORO'!E$4</f>
        <v>0</v>
      </c>
      <c r="F58" s="14">
        <f>F$5+'Manual Oper Maint RORO'!F$4</f>
        <v>0</v>
      </c>
      <c r="G58" s="104"/>
    </row>
    <row r="59" spans="1:7" x14ac:dyDescent="0.25">
      <c r="A59" s="4" t="s">
        <v>42</v>
      </c>
      <c r="B59" s="33">
        <v>2</v>
      </c>
      <c r="C59" s="14">
        <f>C$5*((1+'User Inputs'!$E$9)^$B58)+C$4*((1+'User Inputs'!$E$12)^$B58)</f>
        <v>26381.953754742859</v>
      </c>
      <c r="D59" s="14">
        <f>D$5*((1+'User Inputs'!$E$9)^$B58)+D$4*((1+'User Inputs'!$E$12)^$B58)</f>
        <v>702442.14532664535</v>
      </c>
      <c r="E59" s="14">
        <f>E$5*((1+'User Inputs'!$E$9)^$B58)+E$4*((1+'User Inputs'!$E$12)^$B58)</f>
        <v>0</v>
      </c>
      <c r="F59" s="14">
        <f>F$5*((1+'User Inputs'!$E$9)^$B58)+F$4*((1+'User Inputs'!$E$12)^$B58)</f>
        <v>0</v>
      </c>
      <c r="G59" s="104"/>
    </row>
    <row r="60" spans="1:7" x14ac:dyDescent="0.25">
      <c r="A60" s="4" t="s">
        <v>42</v>
      </c>
      <c r="B60" s="33">
        <v>3</v>
      </c>
      <c r="C60" s="14">
        <f>C$5*((1+'User Inputs'!$E$9)^$B59)+C$4*((1+'User Inputs'!$E$12)^$B59)</f>
        <v>27696.723610217145</v>
      </c>
      <c r="D60" s="14">
        <f>D$5*((1+'User Inputs'!$E$9)^$B59)+D$4*((1+'User Inputs'!$E$12)^$B59)</f>
        <v>747583.85487930989</v>
      </c>
      <c r="E60" s="14">
        <f>E$5*((1+'User Inputs'!$E$9)^$B59)+E$4*((1+'User Inputs'!$E$12)^$B59)</f>
        <v>0</v>
      </c>
      <c r="F60" s="14">
        <f>F$5*((1+'User Inputs'!$E$9)^$B59)+F$4*((1+'User Inputs'!$E$12)^$B59)</f>
        <v>0</v>
      </c>
      <c r="G60" s="104"/>
    </row>
    <row r="61" spans="1:7" x14ac:dyDescent="0.25">
      <c r="A61" s="4" t="s">
        <v>42</v>
      </c>
      <c r="B61" s="33">
        <v>4</v>
      </c>
      <c r="C61" s="14">
        <f>C$5*((1+'User Inputs'!$E$9)^$B60)+C$4*((1+'User Inputs'!$E$12)^$B60)</f>
        <v>29116.501940838862</v>
      </c>
      <c r="D61" s="14">
        <f>D$5*((1+'User Inputs'!$E$9)^$B60)+D$4*((1+'User Inputs'!$E$12)^$B60)</f>
        <v>796737.6852876409</v>
      </c>
      <c r="E61" s="14">
        <f>E$5*((1+'User Inputs'!$E$9)^$B60)+E$4*((1+'User Inputs'!$E$12)^$B60)</f>
        <v>0</v>
      </c>
      <c r="F61" s="14">
        <f>F$5*((1+'User Inputs'!$E$9)^$B60)+F$4*((1+'User Inputs'!$E$12)^$B60)</f>
        <v>0</v>
      </c>
      <c r="G61" s="104"/>
    </row>
    <row r="62" spans="1:7" x14ac:dyDescent="0.25">
      <c r="A62" s="4" t="s">
        <v>42</v>
      </c>
      <c r="B62" s="33">
        <v>5</v>
      </c>
      <c r="C62" s="14">
        <f>C$5*((1+'User Inputs'!$E$9)^$B61)+C$4*((1+'User Inputs'!$E$12)^$B61)</f>
        <v>30651.260223914749</v>
      </c>
      <c r="D62" s="14">
        <f>D$5*((1+'User Inputs'!$E$9)^$B61)+D$4*((1+'User Inputs'!$E$12)^$B61)</f>
        <v>850294.80763521302</v>
      </c>
      <c r="E62" s="14">
        <f>E$5*((1+'User Inputs'!$E$9)^$B61)+E$4*((1+'User Inputs'!$E$12)^$B61)</f>
        <v>0</v>
      </c>
      <c r="F62" s="14">
        <f>F$5*((1+'User Inputs'!$E$9)^$B61)+F$4*((1+'User Inputs'!$E$12)^$B61)</f>
        <v>0</v>
      </c>
      <c r="G62" s="104"/>
    </row>
    <row r="63" spans="1:7" x14ac:dyDescent="0.25">
      <c r="A63" s="4" t="s">
        <v>42</v>
      </c>
      <c r="B63" s="33">
        <v>6</v>
      </c>
      <c r="C63" s="14">
        <f>C$5*((1+'User Inputs'!$E$9)^$B62)+C$4*((1+'User Inputs'!$E$12)^$B62)</f>
        <v>32311.956497078063</v>
      </c>
      <c r="D63" s="14">
        <f>D$5*((1+'User Inputs'!$E$9)^$B62)+D$4*((1+'User Inputs'!$E$12)^$B62)</f>
        <v>908685.30929391854</v>
      </c>
      <c r="E63" s="14">
        <f>E$5*((1+'User Inputs'!$E$9)^$B62)+E$4*((1+'User Inputs'!$E$12)^$B62)</f>
        <v>0</v>
      </c>
      <c r="F63" s="14">
        <f>F$5*((1+'User Inputs'!$E$9)^$B62)+F$4*((1+'User Inputs'!$E$12)^$B62)</f>
        <v>0</v>
      </c>
      <c r="G63" s="104"/>
    </row>
    <row r="64" spans="1:7" x14ac:dyDescent="0.25">
      <c r="A64" s="4" t="s">
        <v>42</v>
      </c>
      <c r="B64" s="33">
        <v>7</v>
      </c>
      <c r="C64" s="14">
        <f>C$5*((1+'User Inputs'!$E$9)^$B63)+C$4*((1+'User Inputs'!$E$12)^$B63)</f>
        <v>34110.633802573153</v>
      </c>
      <c r="D64" s="14">
        <f>D$5*((1+'User Inputs'!$E$9)^$B63)+D$4*((1+'User Inputs'!$E$12)^$B63)</f>
        <v>972382.08153639827</v>
      </c>
      <c r="E64" s="14">
        <f>E$5*((1+'User Inputs'!$E$9)^$B63)+E$4*((1+'User Inputs'!$E$12)^$B63)</f>
        <v>0</v>
      </c>
      <c r="F64" s="14">
        <f>F$5*((1+'User Inputs'!$E$9)^$B63)+F$4*((1+'User Inputs'!$E$12)^$B63)</f>
        <v>0</v>
      </c>
      <c r="G64" s="104"/>
    </row>
    <row r="65" spans="1:7" x14ac:dyDescent="0.25">
      <c r="A65" s="4" t="s">
        <v>42</v>
      </c>
      <c r="B65" s="33">
        <v>8</v>
      </c>
      <c r="C65" s="14">
        <f>C$5*((1+'User Inputs'!$E$9)^$B64)+C$4*((1+'User Inputs'!$E$12)^$B64)</f>
        <v>36060.528471733487</v>
      </c>
      <c r="D65" s="14">
        <f>D$5*((1+'User Inputs'!$E$9)^$B64)+D$4*((1+'User Inputs'!$E$12)^$B64)</f>
        <v>1041905.0958293877</v>
      </c>
      <c r="E65" s="14">
        <f>E$5*((1+'User Inputs'!$E$9)^$B64)+E$4*((1+'User Inputs'!$E$12)^$B64)</f>
        <v>0</v>
      </c>
      <c r="F65" s="14">
        <f>F$5*((1+'User Inputs'!$E$9)^$B64)+F$4*((1+'User Inputs'!$E$12)^$B64)</f>
        <v>0</v>
      </c>
      <c r="G65" s="104"/>
    </row>
    <row r="66" spans="1:7" x14ac:dyDescent="0.25">
      <c r="A66" s="4" t="s">
        <v>42</v>
      </c>
      <c r="B66" s="33">
        <v>9</v>
      </c>
      <c r="C66" s="14">
        <f>C$5*((1+'User Inputs'!$E$9)^$B65)+C$4*((1+'User Inputs'!$E$12)^$B65)</f>
        <v>38176.189233587924</v>
      </c>
      <c r="D66" s="14">
        <f>D$5*((1+'User Inputs'!$E$9)^$B65)+D$4*((1+'User Inputs'!$E$12)^$B65)</f>
        <v>1117826.107674463</v>
      </c>
      <c r="E66" s="14">
        <f>E$5*((1+'User Inputs'!$E$9)^$B65)+E$4*((1+'User Inputs'!$E$12)^$B65)</f>
        <v>0</v>
      </c>
      <c r="F66" s="14">
        <f>F$5*((1+'User Inputs'!$E$9)^$B65)+F$4*((1+'User Inputs'!$E$12)^$B65)</f>
        <v>0</v>
      </c>
      <c r="G66" s="104"/>
    </row>
    <row r="67" spans="1:7" x14ac:dyDescent="0.25">
      <c r="A67" s="4" t="s">
        <v>42</v>
      </c>
      <c r="B67" s="33">
        <v>10</v>
      </c>
      <c r="C67" s="14">
        <f>C$5*((1+'User Inputs'!$E$9)^$B66)+C$4*((1+'User Inputs'!$E$12)^$B66)</f>
        <v>40473.608229921418</v>
      </c>
      <c r="D67" s="14">
        <f>D$5*((1+'User Inputs'!$E$9)^$B66)+D$4*((1+'User Inputs'!$E$12)^$B66)</f>
        <v>1200773.8307492887</v>
      </c>
      <c r="E67" s="14">
        <f>E$5*((1+'User Inputs'!$E$9)^$B66)+E$4*((1+'User Inputs'!$E$12)^$B66)</f>
        <v>0</v>
      </c>
      <c r="F67" s="14">
        <f>F$5*((1+'User Inputs'!$E$9)^$B66)+F$4*((1+'User Inputs'!$E$12)^$B66)</f>
        <v>0</v>
      </c>
      <c r="G67" s="104"/>
    </row>
    <row r="68" spans="1:7" x14ac:dyDescent="0.25">
      <c r="A68" s="4" t="s">
        <v>42</v>
      </c>
      <c r="B68" s="33">
        <v>11</v>
      </c>
      <c r="C68" s="14">
        <f>C$5*((1+'User Inputs'!$E$9)^$B67)+C$4*((1+'User Inputs'!$E$12)^$B67)</f>
        <v>42970.365127347759</v>
      </c>
      <c r="D68" s="14">
        <f>D$5*((1+'User Inputs'!$E$9)^$B67)+D$4*((1+'User Inputs'!$E$12)^$B67)</f>
        <v>1291439.6283777447</v>
      </c>
      <c r="E68" s="14">
        <f>E$5*((1+'User Inputs'!$E$9)^$B67)+E$4*((1+'User Inputs'!$E$12)^$B67)</f>
        <v>0</v>
      </c>
      <c r="F68" s="14">
        <f>F$5*((1+'User Inputs'!$E$9)^$B67)+F$4*((1+'User Inputs'!$E$12)^$B67)</f>
        <v>0</v>
      </c>
      <c r="G68" s="104"/>
    </row>
    <row r="69" spans="1:7" x14ac:dyDescent="0.25">
      <c r="A69" s="4" t="s">
        <v>42</v>
      </c>
      <c r="B69" s="33">
        <v>12</v>
      </c>
      <c r="C69" s="14">
        <f>C$5*((1+'User Inputs'!$E$9)^$B68)+C$4*((1+'User Inputs'!$E$12)^$B68)</f>
        <v>45685.785636005421</v>
      </c>
      <c r="D69" s="14">
        <f>D$5*((1+'User Inputs'!$E$9)^$B68)+D$4*((1+'User Inputs'!$E$12)^$B68)</f>
        <v>1390583.7740601166</v>
      </c>
      <c r="E69" s="14">
        <f>E$5*((1+'User Inputs'!$E$9)^$B68)+E$4*((1+'User Inputs'!$E$12)^$B68)</f>
        <v>0</v>
      </c>
      <c r="F69" s="14">
        <f>F$5*((1+'User Inputs'!$E$9)^$B68)+F$4*((1+'User Inputs'!$E$12)^$B68)</f>
        <v>0</v>
      </c>
      <c r="G69" s="104"/>
    </row>
    <row r="70" spans="1:7" x14ac:dyDescent="0.25">
      <c r="A70" s="4" t="s">
        <v>42</v>
      </c>
      <c r="B70" s="33">
        <v>13</v>
      </c>
      <c r="C70" s="14">
        <f>C$5*((1+'User Inputs'!$E$9)^$B69)+C$4*((1+'User Inputs'!$E$12)^$B69)</f>
        <v>48641.1158754473</v>
      </c>
      <c r="D70" s="14">
        <f>D$5*((1+'User Inputs'!$E$9)^$B69)+D$4*((1+'User Inputs'!$E$12)^$B69)</f>
        <v>1499042.3379676177</v>
      </c>
      <c r="E70" s="14">
        <f>E$5*((1+'User Inputs'!$E$9)^$B69)+E$4*((1+'User Inputs'!$E$12)^$B69)</f>
        <v>0</v>
      </c>
      <c r="F70" s="14">
        <f>F$5*((1+'User Inputs'!$E$9)^$B69)+F$4*((1+'User Inputs'!$E$12)^$B69)</f>
        <v>0</v>
      </c>
      <c r="G70" s="104"/>
    </row>
    <row r="71" spans="1:7" x14ac:dyDescent="0.25">
      <c r="A71" s="4" t="s">
        <v>42</v>
      </c>
      <c r="B71" s="33">
        <v>14</v>
      </c>
      <c r="C71" s="14">
        <f>C$5*((1+'User Inputs'!$E$9)^$B70)+C$4*((1+'User Inputs'!$E$12)^$B70)</f>
        <v>51859.714172350199</v>
      </c>
      <c r="D71" s="14">
        <f>D$5*((1+'User Inputs'!$E$9)^$B70)+D$4*((1+'User Inputs'!$E$12)^$B70)</f>
        <v>1617734.7619958988</v>
      </c>
      <c r="E71" s="14">
        <f>E$5*((1+'User Inputs'!$E$9)^$B70)+E$4*((1+'User Inputs'!$E$12)^$B70)</f>
        <v>0</v>
      </c>
      <c r="F71" s="14">
        <f>F$5*((1+'User Inputs'!$E$9)^$B70)+F$4*((1+'User Inputs'!$E$12)^$B70)</f>
        <v>0</v>
      </c>
      <c r="G71" s="104"/>
    </row>
    <row r="72" spans="1:7" x14ac:dyDescent="0.25">
      <c r="A72" s="4" t="s">
        <v>42</v>
      </c>
      <c r="B72" s="33">
        <v>15</v>
      </c>
      <c r="C72" s="14">
        <f>C$5*((1+'User Inputs'!$E$9)^$B71)+C$4*((1+'User Inputs'!$E$12)^$B71)</f>
        <v>55367.262033130559</v>
      </c>
      <c r="D72" s="14">
        <f>D$5*((1+'User Inputs'!$E$9)^$B71)+D$4*((1+'User Inputs'!$E$12)^$B71)</f>
        <v>1747672.1922316384</v>
      </c>
      <c r="E72" s="14">
        <f>E$5*((1+'User Inputs'!$E$9)^$B71)+E$4*((1+'User Inputs'!$E$12)^$B71)</f>
        <v>0</v>
      </c>
      <c r="F72" s="14">
        <f>F$5*((1+'User Inputs'!$E$9)^$B71)+F$4*((1+'User Inputs'!$E$12)^$B71)</f>
        <v>0</v>
      </c>
      <c r="G72" s="104"/>
    </row>
    <row r="73" spans="1:7" x14ac:dyDescent="0.25">
      <c r="A73" s="4" t="s">
        <v>42</v>
      </c>
      <c r="B73" s="33">
        <v>16</v>
      </c>
      <c r="C73" s="14">
        <f>C$5*((1+'User Inputs'!$E$9)^$B72)+C$4*((1+'User Inputs'!$E$12)^$B72)</f>
        <v>59191.996208859848</v>
      </c>
      <c r="D73" s="14">
        <f>D$5*((1+'User Inputs'!$E$9)^$B72)+D$4*((1+'User Inputs'!$E$12)^$B72)</f>
        <v>1889966.6445716748</v>
      </c>
      <c r="E73" s="14">
        <f>E$5*((1+'User Inputs'!$E$9)^$B72)+E$4*((1+'User Inputs'!$E$12)^$B72)</f>
        <v>0</v>
      </c>
      <c r="F73" s="14">
        <f>F$5*((1+'User Inputs'!$E$9)^$B72)+F$4*((1+'User Inputs'!$E$12)^$B72)</f>
        <v>0</v>
      </c>
      <c r="G73" s="104"/>
    </row>
    <row r="74" spans="1:7" x14ac:dyDescent="0.25">
      <c r="A74" s="4" t="s">
        <v>42</v>
      </c>
      <c r="B74" s="33">
        <v>17</v>
      </c>
      <c r="C74" s="14">
        <f>C$5*((1+'User Inputs'!$E$9)^$B73)+C$4*((1+'User Inputs'!$E$12)^$B73)</f>
        <v>63364.963961610396</v>
      </c>
      <c r="D74" s="14">
        <f>D$5*((1+'User Inputs'!$E$9)^$B73)+D$4*((1+'User Inputs'!$E$12)^$B73)</f>
        <v>2045841.0868080524</v>
      </c>
      <c r="E74" s="14">
        <f>E$5*((1+'User Inputs'!$E$9)^$B73)+E$4*((1+'User Inputs'!$E$12)^$B73)</f>
        <v>0</v>
      </c>
      <c r="F74" s="14">
        <f>F$5*((1+'User Inputs'!$E$9)^$B73)+F$4*((1+'User Inputs'!$E$12)^$B73)</f>
        <v>0</v>
      </c>
      <c r="G74" s="104"/>
    </row>
    <row r="75" spans="1:7" x14ac:dyDescent="0.25">
      <c r="A75" s="4" t="s">
        <v>42</v>
      </c>
      <c r="B75" s="33">
        <v>18</v>
      </c>
      <c r="C75" s="14">
        <f>C$5*((1+'User Inputs'!$E$9)^$B74)+C$4*((1+'User Inputs'!$E$12)^$B74)</f>
        <v>67920.303852273297</v>
      </c>
      <c r="D75" s="14">
        <f>D$5*((1+'User Inputs'!$E$9)^$B74)+D$4*((1+'User Inputs'!$E$12)^$B74)</f>
        <v>2216640.5288236518</v>
      </c>
      <c r="E75" s="14">
        <f>E$5*((1+'User Inputs'!$E$9)^$B74)+E$4*((1+'User Inputs'!$E$12)^$B74)</f>
        <v>0</v>
      </c>
      <c r="F75" s="14">
        <f>F$5*((1+'User Inputs'!$E$9)^$B74)+F$4*((1+'User Inputs'!$E$12)^$B74)</f>
        <v>0</v>
      </c>
      <c r="G75" s="104"/>
    </row>
    <row r="76" spans="1:7" x14ac:dyDescent="0.25">
      <c r="A76" s="4" t="s">
        <v>42</v>
      </c>
      <c r="B76" s="33">
        <v>19</v>
      </c>
      <c r="C76" s="14">
        <f>C$5*((1+'User Inputs'!$E$9)^$B75)+C$4*((1+'User Inputs'!$E$12)^$B75)</f>
        <v>72895.554601892509</v>
      </c>
      <c r="D76" s="14">
        <f>D$5*((1+'User Inputs'!$E$9)^$B75)+D$4*((1+'User Inputs'!$E$12)^$B75)</f>
        <v>2403844.221707507</v>
      </c>
      <c r="E76" s="14">
        <f>E$5*((1+'User Inputs'!$E$9)^$B75)+E$4*((1+'User Inputs'!$E$12)^$B75)</f>
        <v>0</v>
      </c>
      <c r="F76" s="14">
        <f>F$5*((1+'User Inputs'!$E$9)^$B75)+F$4*((1+'User Inputs'!$E$12)^$B75)</f>
        <v>0</v>
      </c>
      <c r="G76" s="104"/>
    </row>
    <row r="77" spans="1:7" x14ac:dyDescent="0.25">
      <c r="A77" s="4" t="s">
        <v>42</v>
      </c>
      <c r="B77" s="33">
        <v>20</v>
      </c>
      <c r="C77" s="14">
        <f>C$5*((1+'User Inputs'!$E$9)^$B76)+C$4*((1+'User Inputs'!$E$12)^$B76)</f>
        <v>78331.994833761506</v>
      </c>
      <c r="D77" s="14">
        <f>D$5*((1+'User Inputs'!$E$9)^$B76)+D$4*((1+'User Inputs'!$E$12)^$B76)</f>
        <v>2609079.0766797783</v>
      </c>
      <c r="E77" s="14">
        <f>E$5*((1+'User Inputs'!$E$9)^$B76)+E$4*((1+'User Inputs'!$E$12)^$B76)</f>
        <v>0</v>
      </c>
      <c r="F77" s="14">
        <f>F$5*((1+'User Inputs'!$E$9)^$B76)+F$4*((1+'User Inputs'!$E$12)^$B76)</f>
        <v>0</v>
      </c>
      <c r="G77" s="104"/>
    </row>
    <row r="78" spans="1:7" x14ac:dyDescent="0.25">
      <c r="A78" s="4" t="s">
        <v>42</v>
      </c>
      <c r="B78" s="33">
        <v>21</v>
      </c>
      <c r="C78" s="14">
        <f>C$5*((1+'User Inputs'!$E$9)^$B77)+C$4*((1+'User Inputs'!$E$12)^$B77)</f>
        <v>84275.016784250969</v>
      </c>
      <c r="D78" s="14">
        <f>D$5*((1+'User Inputs'!$E$9)^$B77)+D$4*((1+'User Inputs'!$E$12)^$B77)</f>
        <v>2834134.4258053061</v>
      </c>
      <c r="E78" s="14">
        <f>E$5*((1+'User Inputs'!$E$9)^$B77)+E$4*((1+'User Inputs'!$E$12)^$B77)</f>
        <v>0</v>
      </c>
      <c r="F78" s="14">
        <f>F$5*((1+'User Inputs'!$E$9)^$B77)+F$4*((1+'User Inputs'!$E$12)^$B77)</f>
        <v>0</v>
      </c>
      <c r="G78" s="104"/>
    </row>
    <row r="79" spans="1:7" x14ac:dyDescent="0.25">
      <c r="A79" s="4" t="s">
        <v>42</v>
      </c>
      <c r="B79" s="33">
        <v>22</v>
      </c>
      <c r="C79" s="14">
        <f>C$5*((1+'User Inputs'!$E$9)^$B78)+C$4*((1+'User Inputs'!$E$12)^$B78)</f>
        <v>90774.537379131682</v>
      </c>
      <c r="D79" s="14">
        <f>D$5*((1+'User Inputs'!$E$9)^$B78)+D$4*((1+'User Inputs'!$E$12)^$B78)</f>
        <v>3080978.2586725387</v>
      </c>
      <c r="E79" s="14">
        <f>E$5*((1+'User Inputs'!$E$9)^$B78)+E$4*((1+'User Inputs'!$E$12)^$B78)</f>
        <v>0</v>
      </c>
      <c r="F79" s="14">
        <f>F$5*((1+'User Inputs'!$E$9)^$B78)+F$4*((1+'User Inputs'!$E$12)^$B78)</f>
        <v>0</v>
      </c>
      <c r="G79" s="104"/>
    </row>
    <row r="80" spans="1:7" x14ac:dyDescent="0.25">
      <c r="A80" s="4" t="s">
        <v>42</v>
      </c>
      <c r="B80" s="33">
        <v>23</v>
      </c>
      <c r="C80" s="14">
        <f>C$5*((1+'User Inputs'!$E$9)^$B79)+C$4*((1+'User Inputs'!$E$12)^$B79)</f>
        <v>97885.450411829544</v>
      </c>
      <c r="D80" s="14">
        <f>D$5*((1+'User Inputs'!$E$9)^$B79)+D$4*((1+'User Inputs'!$E$12)^$B79)</f>
        <v>3351775.0826322283</v>
      </c>
      <c r="E80" s="14">
        <f>E$5*((1+'User Inputs'!$E$9)^$B79)+E$4*((1+'User Inputs'!$E$12)^$B79)</f>
        <v>0</v>
      </c>
      <c r="F80" s="14">
        <f>F$5*((1+'User Inputs'!$E$9)^$B79)+F$4*((1+'User Inputs'!$E$12)^$B79)</f>
        <v>0</v>
      </c>
      <c r="G80" s="104"/>
    </row>
    <row r="81" spans="1:7" x14ac:dyDescent="0.25">
      <c r="A81" s="4" t="s">
        <v>42</v>
      </c>
      <c r="B81" s="33">
        <v>24</v>
      </c>
      <c r="C81" s="14">
        <f>C$5*((1+'User Inputs'!$E$9)^$B80)+C$4*((1+'User Inputs'!$E$12)^$B80)</f>
        <v>105668.1239336929</v>
      </c>
      <c r="D81" s="14">
        <f>D$5*((1+'User Inputs'!$E$9)^$B80)+D$4*((1+'User Inputs'!$E$12)^$B80)</f>
        <v>3648905.5689497357</v>
      </c>
      <c r="E81" s="14">
        <f>E$5*((1+'User Inputs'!$E$9)^$B80)+E$4*((1+'User Inputs'!$E$12)^$B80)</f>
        <v>0</v>
      </c>
      <c r="F81" s="14">
        <f>F$5*((1+'User Inputs'!$E$9)^$B80)+F$4*((1+'User Inputs'!$E$12)^$B80)</f>
        <v>0</v>
      </c>
      <c r="G81" s="104"/>
    </row>
    <row r="82" spans="1:7" x14ac:dyDescent="0.25">
      <c r="A82" s="4" t="s">
        <v>42</v>
      </c>
      <c r="B82" s="33">
        <v>25</v>
      </c>
      <c r="C82" s="14">
        <f>C$5*((1+'User Inputs'!$E$9)^$B81)+C$4*((1+'User Inputs'!$E$12)^$B81)</f>
        <v>114188.94737735618</v>
      </c>
      <c r="D82" s="14">
        <f>D$5*((1+'User Inputs'!$E$9)^$B81)+D$4*((1+'User Inputs'!$E$12)^$B81)</f>
        <v>3974988.1634600782</v>
      </c>
      <c r="E82" s="14">
        <f>E$5*((1+'User Inputs'!$E$9)^$B81)+E$4*((1+'User Inputs'!$E$12)^$B81)</f>
        <v>0</v>
      </c>
      <c r="F82" s="14">
        <f>F$5*((1+'User Inputs'!$E$9)^$B81)+F$4*((1+'User Inputs'!$E$12)^$B81)</f>
        <v>0</v>
      </c>
      <c r="G82" s="104"/>
    </row>
    <row r="83" spans="1:7" x14ac:dyDescent="0.25">
      <c r="A83" s="4" t="s">
        <v>42</v>
      </c>
      <c r="B83" s="33">
        <v>26</v>
      </c>
      <c r="C83" s="14">
        <f>C$5*((1+'User Inputs'!$E$9)^$B82)+C$4*((1+'User Inputs'!$E$12)^$B82)</f>
        <v>123520.93338639171</v>
      </c>
      <c r="D83" s="14">
        <f>D$5*((1+'User Inputs'!$E$9)^$B82)+D$4*((1+'User Inputs'!$E$12)^$B82)</f>
        <v>4332902.8581737634</v>
      </c>
      <c r="E83" s="14">
        <f>E$5*((1+'User Inputs'!$E$9)^$B82)+E$4*((1+'User Inputs'!$E$12)^$B82)</f>
        <v>0</v>
      </c>
      <c r="F83" s="14">
        <f>F$5*((1+'User Inputs'!$E$9)^$B82)+F$4*((1+'User Inputs'!$E$12)^$B82)</f>
        <v>0</v>
      </c>
      <c r="G83" s="104"/>
    </row>
    <row r="84" spans="1:7" x14ac:dyDescent="0.25">
      <c r="A84" s="4" t="s">
        <v>42</v>
      </c>
      <c r="B84" s="33">
        <v>27</v>
      </c>
      <c r="C84" s="14">
        <f>C$5*((1+'User Inputs'!$E$9)^$B83)+C$4*((1+'User Inputs'!$E$12)^$B83)</f>
        <v>133744.37982175677</v>
      </c>
      <c r="D84" s="14">
        <f>D$5*((1+'User Inputs'!$E$9)^$B83)+D$4*((1+'User Inputs'!$E$12)^$B83)</f>
        <v>4725817.3399261711</v>
      </c>
      <c r="E84" s="14">
        <f>E$5*((1+'User Inputs'!$E$9)^$B83)+E$4*((1+'User Inputs'!$E$12)^$B83)</f>
        <v>0</v>
      </c>
      <c r="F84" s="14">
        <f>F$5*((1+'User Inputs'!$E$9)^$B83)+F$4*((1+'User Inputs'!$E$12)^$B83)</f>
        <v>0</v>
      </c>
      <c r="G84" s="104"/>
    </row>
    <row r="85" spans="1:7" x14ac:dyDescent="0.25">
      <c r="A85" s="4" t="s">
        <v>42</v>
      </c>
      <c r="B85" s="33">
        <v>28</v>
      </c>
      <c r="C85" s="14">
        <f>C$5*((1+'User Inputs'!$E$9)^$B84)+C$4*((1+'User Inputs'!$E$12)^$B84)</f>
        <v>144947.59796259284</v>
      </c>
      <c r="D85" s="14">
        <f>D$5*((1+'User Inputs'!$E$9)^$B84)+D$4*((1+'User Inputs'!$E$12)^$B84)</f>
        <v>5157215.7537725195</v>
      </c>
      <c r="E85" s="14">
        <f>E$5*((1+'User Inputs'!$E$9)^$B84)+E$4*((1+'User Inputs'!$E$12)^$B84)</f>
        <v>0</v>
      </c>
      <c r="F85" s="14">
        <f>F$5*((1+'User Inputs'!$E$9)^$B84)+F$4*((1+'User Inputs'!$E$12)^$B84)</f>
        <v>0</v>
      </c>
      <c r="G85" s="104"/>
    </row>
    <row r="86" spans="1:7" x14ac:dyDescent="0.25">
      <c r="A86" s="4" t="s">
        <v>42</v>
      </c>
      <c r="B86" s="33">
        <v>29</v>
      </c>
      <c r="C86" s="14">
        <f>C$5*((1+'User Inputs'!$E$9)^$B85)+C$4*((1+'User Inputs'!$E$12)^$B85)</f>
        <v>157227.71352068573</v>
      </c>
      <c r="D86" s="14">
        <f>D$5*((1+'User Inputs'!$E$9)^$B85)+D$4*((1+'User Inputs'!$E$12)^$B85)</f>
        <v>5630930.3426005775</v>
      </c>
      <c r="E86" s="14">
        <f>E$5*((1+'User Inputs'!$E$9)^$B85)+E$4*((1+'User Inputs'!$E$12)^$B85)</f>
        <v>0</v>
      </c>
      <c r="F86" s="14">
        <f>F$5*((1+'User Inputs'!$E$9)^$B85)+F$4*((1+'User Inputs'!$E$12)^$B85)</f>
        <v>0</v>
      </c>
      <c r="G86" s="104"/>
    </row>
    <row r="87" spans="1:7" x14ac:dyDescent="0.25">
      <c r="A87" s="4" t="s">
        <v>42</v>
      </c>
      <c r="B87" s="33">
        <v>30</v>
      </c>
      <c r="C87" s="14">
        <f>C$5*((1+'User Inputs'!$E$9)^$B86)+C$4*((1+'User Inputs'!$E$12)^$B86)</f>
        <v>170691.54774982462</v>
      </c>
      <c r="D87" s="14">
        <f>D$5*((1+'User Inputs'!$E$9)^$B86)+D$4*((1+'User Inputs'!$E$12)^$B86)</f>
        <v>6151176.250580458</v>
      </c>
      <c r="E87" s="14">
        <f>E$5*((1+'User Inputs'!$E$9)^$B86)+E$4*((1+'User Inputs'!$E$12)^$B86)</f>
        <v>0</v>
      </c>
      <c r="F87" s="14">
        <f>F$5*((1+'User Inputs'!$E$9)^$B86)+F$4*((1+'User Inputs'!$E$12)^$B86)</f>
        <v>0</v>
      </c>
      <c r="G87" s="104"/>
    </row>
    <row r="88" spans="1:7" x14ac:dyDescent="0.25">
      <c r="A88" s="4" t="s">
        <v>42</v>
      </c>
      <c r="B88" s="33">
        <v>31</v>
      </c>
      <c r="C88" s="14">
        <f>C$5*((1+'User Inputs'!$E$9)^$B87)+C$4*((1+'User Inputs'!$E$12)^$B87)</f>
        <v>185456.58665941877</v>
      </c>
      <c r="D88" s="14">
        <f>D$5*((1+'User Inputs'!$E$9)^$B87)+D$4*((1+'User Inputs'!$E$12)^$B87)</f>
        <v>6722589.8068327233</v>
      </c>
      <c r="E88" s="14">
        <f>E$5*((1+'User Inputs'!$E$9)^$B87)+E$4*((1+'User Inputs'!$E$12)^$B87)</f>
        <v>0</v>
      </c>
      <c r="F88" s="14">
        <f>F$5*((1+'User Inputs'!$E$9)^$B87)+F$4*((1+'User Inputs'!$E$12)^$B87)</f>
        <v>0</v>
      </c>
      <c r="G88" s="104"/>
    </row>
    <row r="89" spans="1:7" x14ac:dyDescent="0.25">
      <c r="A89" s="4" t="s">
        <v>42</v>
      </c>
      <c r="B89" s="33">
        <v>32</v>
      </c>
      <c r="C89" s="14">
        <f>C$5*((1+'User Inputs'!$E$9)^$B88)+C$4*((1+'User Inputs'!$E$12)^$B88)</f>
        <v>201652.04714266455</v>
      </c>
      <c r="D89" s="14">
        <f>D$5*((1+'User Inputs'!$E$9)^$B88)+D$4*((1+'User Inputs'!$E$12)^$B88)</f>
        <v>7350270.637334099</v>
      </c>
      <c r="E89" s="14">
        <f>E$5*((1+'User Inputs'!$E$9)^$B88)+E$4*((1+'User Inputs'!$E$12)^$B88)</f>
        <v>0</v>
      </c>
      <c r="F89" s="14">
        <f>F$5*((1+'User Inputs'!$E$9)^$B88)+F$4*((1+'User Inputs'!$E$12)^$B88)</f>
        <v>0</v>
      </c>
      <c r="G89" s="104"/>
    </row>
    <row r="90" spans="1:7" x14ac:dyDescent="0.25">
      <c r="A90" s="4" t="s">
        <v>42</v>
      </c>
      <c r="B90" s="33">
        <v>33</v>
      </c>
      <c r="C90" s="14">
        <f>C$5*((1+'User Inputs'!$E$9)^$B89)+C$4*((1+'User Inputs'!$E$12)^$B89)</f>
        <v>219420.04971058102</v>
      </c>
      <c r="D90" s="14">
        <f>D$5*((1+'User Inputs'!$E$9)^$B89)+D$4*((1+'User Inputs'!$E$12)^$B89)</f>
        <v>8039827.9878819734</v>
      </c>
      <c r="E90" s="14">
        <f>E$5*((1+'User Inputs'!$E$9)^$B89)+E$4*((1+'User Inputs'!$E$12)^$B89)</f>
        <v>0</v>
      </c>
      <c r="F90" s="14">
        <f>F$5*((1+'User Inputs'!$E$9)^$B89)+F$4*((1+'User Inputs'!$E$12)^$B89)</f>
        <v>0</v>
      </c>
      <c r="G90" s="104"/>
    </row>
    <row r="91" spans="1:7" x14ac:dyDescent="0.25">
      <c r="A91" s="4" t="s">
        <v>42</v>
      </c>
      <c r="B91" s="33">
        <v>34</v>
      </c>
      <c r="C91" s="14">
        <f>C$5*((1+'User Inputs'!$E$9)^$B90)+C$4*((1+'User Inputs'!$E$12)^$B90)</f>
        <v>238916.90849236216</v>
      </c>
      <c r="D91" s="14">
        <f>D$5*((1+'User Inputs'!$E$9)^$B90)+D$4*((1+'User Inputs'!$E$12)^$B90)</f>
        <v>8797431.679220926</v>
      </c>
      <c r="E91" s="14">
        <f>E$5*((1+'User Inputs'!$E$9)^$B90)+E$4*((1+'User Inputs'!$E$12)^$B90)</f>
        <v>0</v>
      </c>
      <c r="F91" s="14">
        <f>F$5*((1+'User Inputs'!$E$9)^$B90)+F$4*((1+'User Inputs'!$E$12)^$B90)</f>
        <v>0</v>
      </c>
      <c r="G91" s="104"/>
    </row>
    <row r="92" spans="1:7" x14ac:dyDescent="0.25">
      <c r="A92" s="4" t="s">
        <v>42</v>
      </c>
      <c r="B92" s="33">
        <v>35</v>
      </c>
      <c r="C92" s="14">
        <f>C$5*((1+'User Inputs'!$E$9)^$B91)+C$4*((1+'User Inputs'!$E$12)^$B91)</f>
        <v>260314.55022853581</v>
      </c>
      <c r="D92" s="14">
        <f>D$5*((1+'User Inputs'!$E$9)^$B91)+D$4*((1+'User Inputs'!$E$12)^$B91)</f>
        <v>9629868.157544788</v>
      </c>
      <c r="E92" s="14">
        <f>E$5*((1+'User Inputs'!$E$9)^$B91)+E$4*((1+'User Inputs'!$E$12)^$B91)</f>
        <v>0</v>
      </c>
      <c r="F92" s="14">
        <f>F$5*((1+'User Inputs'!$E$9)^$B91)+F$4*((1+'User Inputs'!$E$12)^$B91)</f>
        <v>0</v>
      </c>
      <c r="G92" s="104"/>
    </row>
    <row r="93" spans="1:7" x14ac:dyDescent="0.25">
      <c r="A93" s="4" t="s">
        <v>42</v>
      </c>
      <c r="B93" s="33">
        <v>36</v>
      </c>
      <c r="C93" s="14">
        <f>C$5*((1+'User Inputs'!$E$9)^$B92)+C$4*((1+'User Inputs'!$E$12)^$B92)</f>
        <v>283802.07515606569</v>
      </c>
      <c r="D93" s="14">
        <f>D$5*((1+'User Inputs'!$E$9)^$B92)+D$4*((1+'User Inputs'!$E$12)^$B92)</f>
        <v>10544602.149909073</v>
      </c>
      <c r="E93" s="14">
        <f>E$5*((1+'User Inputs'!$E$9)^$B92)+E$4*((1+'User Inputs'!$E$12)^$B92)</f>
        <v>0</v>
      </c>
      <c r="F93" s="14">
        <f>F$5*((1+'User Inputs'!$E$9)^$B92)+F$4*((1+'User Inputs'!$E$12)^$B92)</f>
        <v>0</v>
      </c>
      <c r="G93" s="104"/>
    </row>
    <row r="94" spans="1:7" x14ac:dyDescent="0.25">
      <c r="A94" s="4" t="s">
        <v>42</v>
      </c>
      <c r="B94" s="33">
        <v>37</v>
      </c>
      <c r="C94" s="14">
        <f>C$5*((1+'User Inputs'!$E$9)^$B93)+C$4*((1+'User Inputs'!$E$12)^$B93)</f>
        <v>309587.47397444193</v>
      </c>
      <c r="D94" s="14">
        <f>D$5*((1+'User Inputs'!$E$9)^$B93)+D$4*((1+'User Inputs'!$E$12)^$B93)</f>
        <v>11549844.485041982</v>
      </c>
      <c r="E94" s="14">
        <f>E$5*((1+'User Inputs'!$E$9)^$B93)+E$4*((1+'User Inputs'!$E$12)^$B93)</f>
        <v>0</v>
      </c>
      <c r="F94" s="14">
        <f>F$5*((1+'User Inputs'!$E$9)^$B93)+F$4*((1+'User Inputs'!$E$12)^$B93)</f>
        <v>0</v>
      </c>
      <c r="G94" s="104"/>
    </row>
    <row r="95" spans="1:7" x14ac:dyDescent="0.25">
      <c r="A95" s="4" t="s">
        <v>42</v>
      </c>
      <c r="B95" s="33">
        <v>38</v>
      </c>
      <c r="C95" s="14">
        <f>C$5*((1+'User Inputs'!$E$9)^$B94)+C$4*((1+'User Inputs'!$E$12)^$B94)</f>
        <v>337899.51650071132</v>
      </c>
      <c r="D95" s="14">
        <f>D$5*((1+'User Inputs'!$E$9)^$B94)+D$4*((1+'User Inputs'!$E$12)^$B94)</f>
        <v>12654626.69609102</v>
      </c>
      <c r="E95" s="14">
        <f>E$5*((1+'User Inputs'!$E$9)^$B94)+E$4*((1+'User Inputs'!$E$12)^$B94)</f>
        <v>0</v>
      </c>
      <c r="F95" s="14">
        <f>F$5*((1+'User Inputs'!$E$9)^$B94)+F$4*((1+'User Inputs'!$E$12)^$B94)</f>
        <v>0</v>
      </c>
      <c r="G95" s="104"/>
    </row>
    <row r="96" spans="1:7" x14ac:dyDescent="0.25">
      <c r="A96" s="4" t="s">
        <v>42</v>
      </c>
      <c r="B96" s="33">
        <v>39</v>
      </c>
      <c r="C96" s="14">
        <f>C$5*((1+'User Inputs'!$E$9)^$B95)+C$4*((1+'User Inputs'!$E$12)^$B95)</f>
        <v>368989.82918218413</v>
      </c>
      <c r="D96" s="14">
        <f>D$5*((1+'User Inputs'!$E$9)^$B95)+D$4*((1+'User Inputs'!$E$12)^$B95)</f>
        <v>13868883.083495863</v>
      </c>
      <c r="E96" s="14">
        <f>E$5*((1+'User Inputs'!$E$9)^$B95)+E$4*((1+'User Inputs'!$E$12)^$B95)</f>
        <v>0</v>
      </c>
      <c r="F96" s="14">
        <f>F$5*((1+'User Inputs'!$E$9)^$B95)+F$4*((1+'User Inputs'!$E$12)^$B95)</f>
        <v>0</v>
      </c>
      <c r="G96" s="104"/>
    </row>
    <row r="97" spans="1:7" x14ac:dyDescent="0.25">
      <c r="A97" s="4" t="s">
        <v>42</v>
      </c>
      <c r="B97" s="33">
        <v>40</v>
      </c>
      <c r="C97" s="14">
        <f>C$5*((1+'User Inputs'!$E$9)^$B96)+C$4*((1+'User Inputs'!$E$12)^$B96)</f>
        <v>403135.18035243213</v>
      </c>
      <c r="D97" s="14">
        <f>D$5*((1+'User Inputs'!$E$9)^$B96)+D$4*((1+'User Inputs'!$E$12)^$B96)</f>
        <v>15203540.983997103</v>
      </c>
      <c r="E97" s="14">
        <f>E$5*((1+'User Inputs'!$E$9)^$B96)+E$4*((1+'User Inputs'!$E$12)^$B96)</f>
        <v>0</v>
      </c>
      <c r="F97" s="14">
        <f>F$5*((1+'User Inputs'!$E$9)^$B96)+F$4*((1+'User Inputs'!$E$12)^$B96)</f>
        <v>0</v>
      </c>
      <c r="G97" s="104"/>
    </row>
    <row r="99" spans="1:7" ht="30" x14ac:dyDescent="0.25">
      <c r="A99" s="38" t="s">
        <v>151</v>
      </c>
      <c r="B99" s="34"/>
      <c r="C99" s="37"/>
    </row>
    <row r="100" spans="1:7" x14ac:dyDescent="0.25">
      <c r="A100" s="4" t="s">
        <v>42</v>
      </c>
      <c r="B100" s="33">
        <v>0</v>
      </c>
      <c r="C100" s="14">
        <f>0</f>
        <v>0</v>
      </c>
      <c r="D100" s="14">
        <f>0</f>
        <v>0</v>
      </c>
      <c r="E100" s="14">
        <f>0</f>
        <v>0</v>
      </c>
      <c r="F100" s="14">
        <f>0</f>
        <v>0</v>
      </c>
      <c r="G100" s="104"/>
    </row>
    <row r="101" spans="1:7" x14ac:dyDescent="0.25">
      <c r="A101" s="4" t="s">
        <v>42</v>
      </c>
      <c r="B101" s="33">
        <v>1</v>
      </c>
      <c r="C101" s="14">
        <f>C6+C8</f>
        <v>206274.14065645286</v>
      </c>
      <c r="D101" s="14">
        <f>D6+D8</f>
        <v>149758.6330482857</v>
      </c>
      <c r="E101" s="14">
        <f>E6+E8</f>
        <v>0</v>
      </c>
      <c r="F101" s="14">
        <f>F6+F8</f>
        <v>0</v>
      </c>
      <c r="G101" s="104"/>
    </row>
    <row r="102" spans="1:7" x14ac:dyDescent="0.25">
      <c r="A102" s="4" t="s">
        <v>42</v>
      </c>
      <c r="B102" s="33">
        <v>2</v>
      </c>
      <c r="C102" s="14">
        <f>(C$6*(1+0.02*$B101)+C$8)*((1+'User Inputs'!$E$12)^$B101)</f>
        <v>211461.11993897354</v>
      </c>
      <c r="D102" s="14">
        <f>(D$6*(1+0.02*$B101)+D$8)*((1+'User Inputs'!$E$12)^$B101)</f>
        <v>155808.88182343644</v>
      </c>
      <c r="E102" s="14">
        <f>(E$6*(1+0.02*$B101)+E$8)*((1+'User Inputs'!$E$12)^$B101)</f>
        <v>0</v>
      </c>
      <c r="F102" s="14">
        <f>(F$6*(1+0.02*$B101)+F$8)*((1+'User Inputs'!$E$12)^$B101)</f>
        <v>0</v>
      </c>
      <c r="G102" s="104"/>
    </row>
    <row r="103" spans="1:7" x14ac:dyDescent="0.25">
      <c r="A103" s="4" t="s">
        <v>42</v>
      </c>
      <c r="B103" s="33">
        <v>3</v>
      </c>
      <c r="C103" s="14">
        <f>(C$6*(1+0.02*$B102)+C$8)*((1+'User Inputs'!$E$12)^$B102)</f>
        <v>216773.0687365325</v>
      </c>
      <c r="D103" s="14">
        <f>(D$6*(1+0.02*$B102)+D$8)*((1+'User Inputs'!$E$12)^$B102)</f>
        <v>162041.23709637392</v>
      </c>
      <c r="E103" s="14">
        <f>(E$6*(1+0.02*$B102)+E$8)*((1+'User Inputs'!$E$12)^$B102)</f>
        <v>0</v>
      </c>
      <c r="F103" s="14">
        <f>(F$6*(1+0.02*$B102)+F$8)*((1+'User Inputs'!$E$12)^$B102)</f>
        <v>0</v>
      </c>
      <c r="G103" s="104"/>
    </row>
    <row r="104" spans="1:7" x14ac:dyDescent="0.25">
      <c r="A104" s="4" t="s">
        <v>42</v>
      </c>
      <c r="B104" s="33">
        <v>4</v>
      </c>
      <c r="C104" s="14">
        <f>(C$6*(1+0.02*$B103)+C$8)*((1+'User Inputs'!$E$12)^$B103)</f>
        <v>222212.91103801818</v>
      </c>
      <c r="D104" s="14">
        <f>(D$6*(1+0.02*$B103)+D$8)*((1+'User Inputs'!$E$12)^$B103)</f>
        <v>168460.56302749948</v>
      </c>
      <c r="E104" s="14">
        <f>(E$6*(1+0.02*$B103)+E$8)*((1+'User Inputs'!$E$12)^$B103)</f>
        <v>0</v>
      </c>
      <c r="F104" s="14">
        <f>(F$6*(1+0.02*$B103)+F$8)*((1+'User Inputs'!$E$12)^$B103)</f>
        <v>0</v>
      </c>
      <c r="G104" s="104"/>
    </row>
    <row r="105" spans="1:7" x14ac:dyDescent="0.25">
      <c r="A105" s="4" t="s">
        <v>42</v>
      </c>
      <c r="B105" s="33">
        <v>5</v>
      </c>
      <c r="C105" s="14">
        <f>(C$6*(1+0.02*$B104)+C$8)*((1+'User Inputs'!$E$12)^$B104)</f>
        <v>227783.63780406871</v>
      </c>
      <c r="D105" s="14">
        <f>(D$6*(1+0.02*$B104)+D$8)*((1+'User Inputs'!$E$12)^$B104)</f>
        <v>175071.84550103155</v>
      </c>
      <c r="E105" s="14">
        <f>(E$6*(1+0.02*$B104)+E$8)*((1+'User Inputs'!$E$12)^$B104)</f>
        <v>0</v>
      </c>
      <c r="F105" s="14">
        <f>(F$6*(1+0.02*$B104)+F$8)*((1+'User Inputs'!$E$12)^$B104)</f>
        <v>0</v>
      </c>
      <c r="G105" s="104"/>
    </row>
    <row r="106" spans="1:7" x14ac:dyDescent="0.25">
      <c r="A106" s="4" t="s">
        <v>42</v>
      </c>
      <c r="B106" s="33">
        <v>6</v>
      </c>
      <c r="C106" s="14">
        <f>(C$6*(1+0.02*$B105)+C$8)*((1+'User Inputs'!$E$12)^$B105)</f>
        <v>233488.30847634608</v>
      </c>
      <c r="D106" s="14">
        <f>(D$6*(1+0.02*$B105)+D$8)*((1+'User Inputs'!$E$12)^$B105)</f>
        <v>181880.19504829388</v>
      </c>
      <c r="E106" s="14">
        <f>(E$6*(1+0.02*$B105)+E$8)*((1+'User Inputs'!$E$12)^$B105)</f>
        <v>0</v>
      </c>
      <c r="F106" s="14">
        <f>(F$6*(1+0.02*$B105)+F$8)*((1+'User Inputs'!$E$12)^$B105)</f>
        <v>0</v>
      </c>
      <c r="G106" s="104"/>
    </row>
    <row r="107" spans="1:7" x14ac:dyDescent="0.25">
      <c r="A107" s="4" t="s">
        <v>42</v>
      </c>
      <c r="B107" s="33">
        <v>7</v>
      </c>
      <c r="C107" s="14">
        <f>(C$6*(1+0.02*$B106)+C$8)*((1+'User Inputs'!$E$12)^$B106)</f>
        <v>239330.0525203929</v>
      </c>
      <c r="D107" s="14">
        <f>(D$6*(1+0.02*$B106)+D$8)*((1+'User Inputs'!$E$12)^$B106)</f>
        <v>188890.84983924631</v>
      </c>
      <c r="E107" s="14">
        <f>(E$6*(1+0.02*$B106)+E$8)*((1+'User Inputs'!$E$12)^$B106)</f>
        <v>0</v>
      </c>
      <c r="F107" s="14">
        <f>(F$6*(1+0.02*$B106)+F$8)*((1+'User Inputs'!$E$12)^$B106)</f>
        <v>0</v>
      </c>
      <c r="G107" s="104"/>
    </row>
    <row r="108" spans="1:7" x14ac:dyDescent="0.25">
      <c r="A108" s="4" t="s">
        <v>42</v>
      </c>
      <c r="B108" s="33">
        <v>8</v>
      </c>
      <c r="C108" s="14">
        <f>(C$6*(1+0.02*$B107)+C$8)*((1+'User Inputs'!$E$12)^$B107)</f>
        <v>245312.07100281096</v>
      </c>
      <c r="D108" s="14">
        <f>(D$6*(1+0.02*$B107)+D$8)*((1+'User Inputs'!$E$12)^$B107)</f>
        <v>196109.17874381749</v>
      </c>
      <c r="E108" s="14">
        <f>(E$6*(1+0.02*$B107)+E$8)*((1+'User Inputs'!$E$12)^$B107)</f>
        <v>0</v>
      </c>
      <c r="F108" s="14">
        <f>(F$6*(1+0.02*$B107)+F$8)*((1+'User Inputs'!$E$12)^$B107)</f>
        <v>0</v>
      </c>
      <c r="G108" s="104"/>
    </row>
    <row r="109" spans="1:7" x14ac:dyDescent="0.25">
      <c r="A109" s="4" t="s">
        <v>42</v>
      </c>
      <c r="B109" s="33">
        <v>9</v>
      </c>
      <c r="C109" s="14">
        <f>(C$6*(1+0.02*$B108)+C$8)*((1+'User Inputs'!$E$12)^$B108)</f>
        <v>251437.63820351768</v>
      </c>
      <c r="D109" s="14">
        <f>(D$6*(1+0.02*$B108)+D$8)*((1+'User Inputs'!$E$12)^$B108)</f>
        <v>203540.68446463582</v>
      </c>
      <c r="E109" s="14">
        <f>(E$6*(1+0.02*$B108)+E$8)*((1+'User Inputs'!$E$12)^$B108)</f>
        <v>0</v>
      </c>
      <c r="F109" s="14">
        <f>(F$6*(1+0.02*$B108)+F$8)*((1+'User Inputs'!$E$12)^$B108)</f>
        <v>0</v>
      </c>
      <c r="G109" s="104"/>
    </row>
    <row r="110" spans="1:7" x14ac:dyDescent="0.25">
      <c r="A110" s="4" t="s">
        <v>42</v>
      </c>
      <c r="B110" s="33">
        <v>10</v>
      </c>
      <c r="C110" s="14">
        <f>(C$6*(1+0.02*$B109)+C$8)*((1+'User Inputs'!$E$12)^$B109)</f>
        <v>257710.10326385155</v>
      </c>
      <c r="D110" s="14">
        <f>(D$6*(1+0.02*$B109)+D$8)*((1+'User Inputs'!$E$12)^$B109)</f>
        <v>211191.00674278935</v>
      </c>
      <c r="E110" s="14">
        <f>(E$6*(1+0.02*$B109)+E$8)*((1+'User Inputs'!$E$12)^$B109)</f>
        <v>0</v>
      </c>
      <c r="F110" s="14">
        <f>(F$6*(1+0.02*$B109)+F$8)*((1+'User Inputs'!$E$12)^$B109)</f>
        <v>0</v>
      </c>
      <c r="G110" s="104"/>
    </row>
    <row r="111" spans="1:7" x14ac:dyDescent="0.25">
      <c r="A111" s="4" t="s">
        <v>42</v>
      </c>
      <c r="B111" s="33">
        <v>11</v>
      </c>
      <c r="C111" s="14">
        <f>(C$6*(1+0.02*$B110)+C$8)*((1+'User Inputs'!$E$12)^$B110)</f>
        <v>264132.89187131735</v>
      </c>
      <c r="D111" s="14">
        <f>(D$6*(1+0.02*$B110)+D$8)*((1+'User Inputs'!$E$12)^$B110)</f>
        <v>219065.92563828322</v>
      </c>
      <c r="E111" s="14">
        <f>(E$6*(1+0.02*$B110)+E$8)*((1+'User Inputs'!$E$12)^$B110)</f>
        <v>0</v>
      </c>
      <c r="F111" s="14">
        <f>(F$6*(1+0.02*$B110)+F$8)*((1+'User Inputs'!$E$12)^$B110)</f>
        <v>0</v>
      </c>
      <c r="G111" s="104"/>
    </row>
    <row r="112" spans="1:7" x14ac:dyDescent="0.25">
      <c r="A112" s="4" t="s">
        <v>42</v>
      </c>
      <c r="B112" s="33">
        <v>12</v>
      </c>
      <c r="C112" s="14">
        <f>(C$6*(1+0.02*$B111)+C$8)*((1+'User Inputs'!$E$12)^$B111)</f>
        <v>270709.5079817762</v>
      </c>
      <c r="D112" s="14">
        <f>(D$6*(1+0.02*$B111)+D$8)*((1+'User Inputs'!$E$12)^$B111)</f>
        <v>227171.36488689965</v>
      </c>
      <c r="E112" s="14">
        <f>(E$6*(1+0.02*$B111)+E$8)*((1+'User Inputs'!$E$12)^$B111)</f>
        <v>0</v>
      </c>
      <c r="F112" s="14">
        <f>(F$6*(1+0.02*$B111)+F$8)*((1+'User Inputs'!$E$12)^$B111)</f>
        <v>0</v>
      </c>
      <c r="G112" s="104"/>
    </row>
    <row r="113" spans="1:7" x14ac:dyDescent="0.25">
      <c r="A113" s="4" t="s">
        <v>42</v>
      </c>
      <c r="B113" s="33">
        <v>13</v>
      </c>
      <c r="C113" s="14">
        <f>(C$6*(1+0.02*$B112)+C$8)*((1+'User Inputs'!$E$12)^$B112)</f>
        <v>277443.53557990497</v>
      </c>
      <c r="D113" s="14">
        <f>(D$6*(1+0.02*$B112)+D$8)*((1+'User Inputs'!$E$12)^$B112)</f>
        <v>235513.39533520554</v>
      </c>
      <c r="E113" s="14">
        <f>(E$6*(1+0.02*$B112)+E$8)*((1+'User Inputs'!$E$12)^$B112)</f>
        <v>0</v>
      </c>
      <c r="F113" s="14">
        <f>(F$6*(1+0.02*$B112)+F$8)*((1+'User Inputs'!$E$12)^$B112)</f>
        <v>0</v>
      </c>
      <c r="G113" s="104"/>
    </row>
    <row r="114" spans="1:7" x14ac:dyDescent="0.25">
      <c r="A114" s="4" t="s">
        <v>42</v>
      </c>
      <c r="B114" s="33">
        <v>14</v>
      </c>
      <c r="C114" s="14">
        <f>(C$6*(1+0.02*$B113)+C$8)*((1+'User Inputs'!$E$12)^$B113)</f>
        <v>284338.64047876612</v>
      </c>
      <c r="D114" s="14">
        <f>(D$6*(1+0.02*$B113)+D$8)*((1+'User Inputs'!$E$12)^$B113)</f>
        <v>244098.23845548881</v>
      </c>
      <c r="E114" s="14">
        <f>(E$6*(1+0.02*$B113)+E$8)*((1+'User Inputs'!$E$12)^$B113)</f>
        <v>0</v>
      </c>
      <c r="F114" s="14">
        <f>(F$6*(1+0.02*$B113)+F$8)*((1+'User Inputs'!$E$12)^$B113)</f>
        <v>0</v>
      </c>
      <c r="G114" s="104"/>
    </row>
    <row r="115" spans="1:7" x14ac:dyDescent="0.25">
      <c r="A115" s="4" t="s">
        <v>42</v>
      </c>
      <c r="B115" s="33">
        <v>15</v>
      </c>
      <c r="C115" s="14">
        <f>(C$6*(1+0.02*$B114)+C$8)*((1+'User Inputs'!$E$12)^$B114)</f>
        <v>291398.57215934974</v>
      </c>
      <c r="D115" s="14">
        <f>(D$6*(1+0.02*$B114)+D$8)*((1+'User Inputs'!$E$12)^$B114)</f>
        <v>252932.26994244938</v>
      </c>
      <c r="E115" s="14">
        <f>(E$6*(1+0.02*$B114)+E$8)*((1+'User Inputs'!$E$12)^$B114)</f>
        <v>0</v>
      </c>
      <c r="F115" s="14">
        <f>(F$6*(1+0.02*$B114)+F$8)*((1+'User Inputs'!$E$12)^$B114)</f>
        <v>0</v>
      </c>
      <c r="G115" s="104"/>
    </row>
    <row r="116" spans="1:7" x14ac:dyDescent="0.25">
      <c r="A116" s="4" t="s">
        <v>42</v>
      </c>
      <c r="B116" s="33">
        <v>16</v>
      </c>
      <c r="C116" s="14">
        <f>(C$6*(1+0.02*$B115)+C$8)*((1+'User Inputs'!$E$12)^$B115)</f>
        <v>298627.16565096518</v>
      </c>
      <c r="D116" s="14">
        <f>(D$6*(1+0.02*$B115)+D$8)*((1+'User Inputs'!$E$12)^$B115)</f>
        <v>262022.0233935061</v>
      </c>
      <c r="E116" s="14">
        <f>(E$6*(1+0.02*$B115)+E$8)*((1+'User Inputs'!$E$12)^$B115)</f>
        <v>0</v>
      </c>
      <c r="F116" s="14">
        <f>(F$6*(1+0.02*$B115)+F$8)*((1+'User Inputs'!$E$12)^$B115)</f>
        <v>0</v>
      </c>
      <c r="G116" s="104"/>
    </row>
    <row r="117" spans="1:7" x14ac:dyDescent="0.25">
      <c r="A117" s="4" t="s">
        <v>42</v>
      </c>
      <c r="B117" s="33">
        <v>17</v>
      </c>
      <c r="C117" s="14">
        <f>(C$6*(1+0.02*$B116)+C$8)*((1+'User Inputs'!$E$12)^$B116)</f>
        <v>306028.34345338156</v>
      </c>
      <c r="D117" s="14">
        <f>(D$6*(1+0.02*$B116)+D$8)*((1+'User Inputs'!$E$12)^$B116)</f>
        <v>271374.19407462823</v>
      </c>
      <c r="E117" s="14">
        <f>(E$6*(1+0.02*$B116)+E$8)*((1+'User Inputs'!$E$12)^$B116)</f>
        <v>0</v>
      </c>
      <c r="F117" s="14">
        <f>(F$6*(1+0.02*$B116)+F$8)*((1+'User Inputs'!$E$12)^$B116)</f>
        <v>0</v>
      </c>
      <c r="G117" s="104"/>
    </row>
    <row r="118" spans="1:7" x14ac:dyDescent="0.25">
      <c r="A118" s="4" t="s">
        <v>42</v>
      </c>
      <c r="B118" s="33">
        <v>18</v>
      </c>
      <c r="C118" s="14">
        <f>(C$6*(1+0.02*$B117)+C$8)*((1+'User Inputs'!$E$12)^$B117)</f>
        <v>313606.11750163423</v>
      </c>
      <c r="D118" s="14">
        <f>(D$6*(1+0.02*$B117)+D$8)*((1+'User Inputs'!$E$12)^$B117)</f>
        <v>280995.64277363778</v>
      </c>
      <c r="E118" s="14">
        <f>(E$6*(1+0.02*$B117)+E$8)*((1+'User Inputs'!$E$12)^$B117)</f>
        <v>0</v>
      </c>
      <c r="F118" s="14">
        <f>(F$6*(1+0.02*$B117)+F$8)*((1+'User Inputs'!$E$12)^$B117)</f>
        <v>0</v>
      </c>
      <c r="G118" s="104"/>
    </row>
    <row r="119" spans="1:7" x14ac:dyDescent="0.25">
      <c r="A119" s="4" t="s">
        <v>42</v>
      </c>
      <c r="B119" s="33">
        <v>19</v>
      </c>
      <c r="C119" s="14">
        <f>(C$6*(1+0.02*$B118)+C$8)*((1+'User Inputs'!$E$12)^$B118)</f>
        <v>321364.59117443551</v>
      </c>
      <c r="D119" s="14">
        <f>(D$6*(1+0.02*$B118)+D$8)*((1+'User Inputs'!$E$12)^$B118)</f>
        <v>290893.39974297781</v>
      </c>
      <c r="E119" s="14">
        <f>(E$6*(1+0.02*$B118)+E$8)*((1+'User Inputs'!$E$12)^$B118)</f>
        <v>0</v>
      </c>
      <c r="F119" s="14">
        <f>(F$6*(1+0.02*$B118)+F$8)*((1+'User Inputs'!$E$12)^$B118)</f>
        <v>0</v>
      </c>
      <c r="G119" s="104"/>
    </row>
    <row r="120" spans="1:7" x14ac:dyDescent="0.25">
      <c r="A120" s="4" t="s">
        <v>42</v>
      </c>
      <c r="B120" s="33">
        <v>20</v>
      </c>
      <c r="C120" s="14">
        <f>(C$6*(1+0.02*$B119)+C$8)*((1+'User Inputs'!$E$12)^$B119)</f>
        <v>329307.96134714835</v>
      </c>
      <c r="D120" s="14">
        <f>(D$6*(1+0.02*$B119)+D$8)*((1+'User Inputs'!$E$12)^$B119)</f>
        <v>301074.66873398202</v>
      </c>
      <c r="E120" s="14">
        <f>(E$6*(1+0.02*$B119)+E$8)*((1+'User Inputs'!$E$12)^$B119)</f>
        <v>0</v>
      </c>
      <c r="F120" s="14">
        <f>(F$6*(1+0.02*$B119)+F$8)*((1+'User Inputs'!$E$12)^$B119)</f>
        <v>0</v>
      </c>
      <c r="G120" s="104"/>
    </row>
    <row r="121" spans="1:7" x14ac:dyDescent="0.25">
      <c r="A121" s="4" t="s">
        <v>42</v>
      </c>
      <c r="B121" s="33">
        <v>21</v>
      </c>
      <c r="C121" s="14">
        <f>(C$6*(1+0.02*$B120)+C$8)*((1+'User Inputs'!$E$12)^$B120)</f>
        <v>337440.52049029985</v>
      </c>
      <c r="D121" s="14">
        <f>(D$6*(1+0.02*$B120)+D$8)*((1+'User Inputs'!$E$12)^$B120)</f>
        <v>311546.83112472924</v>
      </c>
      <c r="E121" s="14">
        <f>(E$6*(1+0.02*$B120)+E$8)*((1+'User Inputs'!$E$12)^$B120)</f>
        <v>0</v>
      </c>
      <c r="F121" s="14">
        <f>(F$6*(1+0.02*$B120)+F$8)*((1+'User Inputs'!$E$12)^$B120)</f>
        <v>0</v>
      </c>
      <c r="G121" s="104"/>
    </row>
    <row r="122" spans="1:7" x14ac:dyDescent="0.25">
      <c r="A122" s="4" t="s">
        <v>42</v>
      </c>
      <c r="B122" s="33">
        <v>22</v>
      </c>
      <c r="C122" s="14">
        <f>(C$6*(1+0.02*$B121)+C$8)*((1+'User Inputs'!$E$12)^$B121)</f>
        <v>345766.65881463856</v>
      </c>
      <c r="D122" s="14">
        <f>(D$6*(1+0.02*$B121)+D$8)*((1+'User Inputs'!$E$12)^$B121)</f>
        <v>322317.45014361269</v>
      </c>
      <c r="E122" s="14">
        <f>(E$6*(1+0.02*$B121)+E$8)*((1+'User Inputs'!$E$12)^$B121)</f>
        <v>0</v>
      </c>
      <c r="F122" s="14">
        <f>(F$6*(1+0.02*$B121)+F$8)*((1+'User Inputs'!$E$12)^$B121)</f>
        <v>0</v>
      </c>
      <c r="G122" s="104"/>
    </row>
    <row r="123" spans="1:7" x14ac:dyDescent="0.25">
      <c r="A123" s="4" t="s">
        <v>42</v>
      </c>
      <c r="B123" s="33">
        <v>23</v>
      </c>
      <c r="C123" s="14">
        <f>(C$6*(1+0.02*$B122)+C$8)*((1+'User Inputs'!$E$12)^$B122)</f>
        <v>354290.86646375479</v>
      </c>
      <c r="D123" s="14">
        <f>(D$6*(1+0.02*$B122)+D$8)*((1+'User Inputs'!$E$12)^$B122)</f>
        <v>333394.27519080165</v>
      </c>
      <c r="E123" s="14">
        <f>(E$6*(1+0.02*$B122)+E$8)*((1+'User Inputs'!$E$12)^$B122)</f>
        <v>0</v>
      </c>
      <c r="F123" s="14">
        <f>(F$6*(1+0.02*$B122)+F$8)*((1+'User Inputs'!$E$12)^$B122)</f>
        <v>0</v>
      </c>
      <c r="G123" s="104"/>
    </row>
    <row r="124" spans="1:7" x14ac:dyDescent="0.25">
      <c r="A124" s="4" t="s">
        <v>42</v>
      </c>
      <c r="B124" s="33">
        <v>24</v>
      </c>
      <c r="C124" s="14">
        <f>(C$6*(1+0.02*$B123)+C$8)*((1+'User Inputs'!$E$12)^$B123)</f>
        <v>363017.73575530964</v>
      </c>
      <c r="D124" s="14">
        <f>(D$6*(1+0.02*$B123)+D$8)*((1+'User Inputs'!$E$12)^$B123)</f>
        <v>344785.24625982071</v>
      </c>
      <c r="E124" s="14">
        <f>(E$6*(1+0.02*$B123)+E$8)*((1+'User Inputs'!$E$12)^$B123)</f>
        <v>0</v>
      </c>
      <c r="F124" s="14">
        <f>(F$6*(1+0.02*$B123)+F$8)*((1+'User Inputs'!$E$12)^$B123)</f>
        <v>0</v>
      </c>
      <c r="G124" s="104"/>
    </row>
    <row r="125" spans="1:7" x14ac:dyDescent="0.25">
      <c r="A125" s="4" t="s">
        <v>42</v>
      </c>
      <c r="B125" s="33">
        <v>25</v>
      </c>
      <c r="C125" s="14">
        <f>(C$6*(1+0.02*$B124)+C$8)*((1+'User Inputs'!$E$12)^$B124)</f>
        <v>371951.96347194124</v>
      </c>
      <c r="D125" s="14">
        <f>(D$6*(1+0.02*$B124)+D$8)*((1+'User Inputs'!$E$12)^$B124)</f>
        <v>356498.4984615242</v>
      </c>
      <c r="E125" s="14">
        <f>(E$6*(1+0.02*$B124)+E$8)*((1+'User Inputs'!$E$12)^$B124)</f>
        <v>0</v>
      </c>
      <c r="F125" s="14">
        <f>(F$6*(1+0.02*$B124)+F$8)*((1+'User Inputs'!$E$12)^$B124)</f>
        <v>0</v>
      </c>
      <c r="G125" s="104"/>
    </row>
    <row r="126" spans="1:7" x14ac:dyDescent="0.25">
      <c r="A126" s="4" t="s">
        <v>42</v>
      </c>
      <c r="B126" s="33">
        <v>26</v>
      </c>
      <c r="C126" s="14">
        <f>(C$6*(1+0.02*$B125)+C$8)*((1+'User Inputs'!$E$12)^$B125)</f>
        <v>381098.35320293601</v>
      </c>
      <c r="D126" s="14">
        <f>(D$6*(1+0.02*$B125)+D$8)*((1+'User Inputs'!$E$12)^$B125)</f>
        <v>368542.36665279191</v>
      </c>
      <c r="E126" s="14">
        <f>(E$6*(1+0.02*$B125)+E$8)*((1+'User Inputs'!$E$12)^$B125)</f>
        <v>0</v>
      </c>
      <c r="F126" s="14">
        <f>(F$6*(1+0.02*$B125)+F$8)*((1+'User Inputs'!$E$12)^$B125)</f>
        <v>0</v>
      </c>
      <c r="G126" s="104"/>
    </row>
    <row r="127" spans="1:7" x14ac:dyDescent="0.25">
      <c r="A127" s="4" t="s">
        <v>42</v>
      </c>
      <c r="B127" s="33">
        <v>27</v>
      </c>
      <c r="C127" s="14">
        <f>(C$6*(1+0.02*$B126)+C$8)*((1+'User Inputs'!$E$12)^$B126)</f>
        <v>390461.81773778185</v>
      </c>
      <c r="D127" s="14">
        <f>(D$6*(1+0.02*$B126)+D$8)*((1+'User Inputs'!$E$12)^$B126)</f>
        <v>380925.39017232577</v>
      </c>
      <c r="E127" s="14">
        <f>(E$6*(1+0.02*$B126)+E$8)*((1+'User Inputs'!$E$12)^$B126)</f>
        <v>0</v>
      </c>
      <c r="F127" s="14">
        <f>(F$6*(1+0.02*$B126)+F$8)*((1+'User Inputs'!$E$12)^$B126)</f>
        <v>0</v>
      </c>
      <c r="G127" s="104"/>
    </row>
    <row r="128" spans="1:7" x14ac:dyDescent="0.25">
      <c r="A128" s="4" t="s">
        <v>42</v>
      </c>
      <c r="B128" s="33">
        <v>28</v>
      </c>
      <c r="C128" s="14">
        <f>(C$6*(1+0.02*$B127)+C$8)*((1+'User Inputs'!$E$12)^$B127)</f>
        <v>400047.38151274022</v>
      </c>
      <c r="D128" s="14">
        <f>(D$6*(1+0.02*$B127)+D$8)*((1+'User Inputs'!$E$12)^$B127)</f>
        <v>393656.31768597971</v>
      </c>
      <c r="E128" s="14">
        <f>(E$6*(1+0.02*$B127)+E$8)*((1+'User Inputs'!$E$12)^$B127)</f>
        <v>0</v>
      </c>
      <c r="F128" s="14">
        <f>(F$6*(1+0.02*$B127)+F$8)*((1+'User Inputs'!$E$12)^$B127)</f>
        <v>0</v>
      </c>
      <c r="G128" s="104"/>
    </row>
    <row r="129" spans="1:7" x14ac:dyDescent="0.25">
      <c r="A129" s="4" t="s">
        <v>42</v>
      </c>
      <c r="B129" s="33">
        <v>29</v>
      </c>
      <c r="C129" s="14">
        <f>(C$6*(1+0.02*$B128)+C$8)*((1+'User Inputs'!$E$12)^$B128)</f>
        <v>409860.18311160197</v>
      </c>
      <c r="D129" s="14">
        <f>(D$6*(1+0.02*$B128)+D$8)*((1+'User Inputs'!$E$12)^$B128)</f>
        <v>406744.11214411113</v>
      </c>
      <c r="E129" s="14">
        <f>(E$6*(1+0.02*$B128)+E$8)*((1+'User Inputs'!$E$12)^$B128)</f>
        <v>0</v>
      </c>
      <c r="F129" s="14">
        <f>(F$6*(1+0.02*$B128)+F$8)*((1+'User Inputs'!$E$12)^$B128)</f>
        <v>0</v>
      </c>
      <c r="G129" s="104"/>
    </row>
    <row r="130" spans="1:7" x14ac:dyDescent="0.25">
      <c r="A130" s="4" t="s">
        <v>42</v>
      </c>
      <c r="B130" s="33">
        <v>30</v>
      </c>
      <c r="C130" s="14">
        <f>(C$6*(1+0.02*$B129)+C$8)*((1+'User Inputs'!$E$12)^$B129)</f>
        <v>419905.47782181296</v>
      </c>
      <c r="D130" s="14">
        <f>(D$6*(1+0.02*$B129)+D$8)*((1+'User Inputs'!$E$12)^$B129)</f>
        <v>420197.95585349319</v>
      </c>
      <c r="E130" s="14">
        <f>(E$6*(1+0.02*$B129)+E$8)*((1+'User Inputs'!$E$12)^$B129)</f>
        <v>0</v>
      </c>
      <c r="F130" s="14">
        <f>(F$6*(1+0.02*$B129)+F$8)*((1+'User Inputs'!$E$12)^$B129)</f>
        <v>0</v>
      </c>
      <c r="G130" s="104"/>
    </row>
    <row r="131" spans="1:7" x14ac:dyDescent="0.25">
      <c r="A131" s="4" t="s">
        <v>42</v>
      </c>
      <c r="B131" s="33">
        <v>31</v>
      </c>
      <c r="C131" s="14">
        <f>(C$6*(1+0.02*$B130)+C$8)*((1+'User Inputs'!$E$12)^$B130)</f>
        <v>430188.64024718781</v>
      </c>
      <c r="D131" s="14">
        <f>(D$6*(1+0.02*$B130)+D$8)*((1+'User Inputs'!$E$12)^$B130)</f>
        <v>434027.25566639297</v>
      </c>
      <c r="E131" s="14">
        <f>(E$6*(1+0.02*$B130)+E$8)*((1+'User Inputs'!$E$12)^$B130)</f>
        <v>0</v>
      </c>
      <c r="F131" s="14">
        <f>(F$6*(1+0.02*$B130)+F$8)*((1+'User Inputs'!$E$12)^$B130)</f>
        <v>0</v>
      </c>
      <c r="G131" s="104"/>
    </row>
    <row r="132" spans="1:7" x14ac:dyDescent="0.25">
      <c r="A132" s="4" t="s">
        <v>42</v>
      </c>
      <c r="B132" s="33">
        <v>32</v>
      </c>
      <c r="C132" s="14">
        <f>(C$6*(1+0.02*$B131)+C$8)*((1+'User Inputs'!$E$12)^$B131)</f>
        <v>440715.16697844886</v>
      </c>
      <c r="D132" s="14">
        <f>(D$6*(1+0.02*$B131)+D$8)*((1+'User Inputs'!$E$12)^$B131)</f>
        <v>448241.64828946727</v>
      </c>
      <c r="E132" s="14">
        <f>(E$6*(1+0.02*$B131)+E$8)*((1+'User Inputs'!$E$12)^$B131)</f>
        <v>0</v>
      </c>
      <c r="F132" s="14">
        <f>(F$6*(1+0.02*$B131)+F$8)*((1+'User Inputs'!$E$12)^$B131)</f>
        <v>0</v>
      </c>
      <c r="G132" s="104"/>
    </row>
    <row r="133" spans="1:7" x14ac:dyDescent="0.25">
      <c r="A133" s="4" t="s">
        <v>42</v>
      </c>
      <c r="B133" s="33">
        <v>33</v>
      </c>
      <c r="C133" s="14">
        <f>(C$6*(1+0.02*$B132)+C$8)*((1+'User Inputs'!$E$12)^$B132)</f>
        <v>451490.67932286166</v>
      </c>
      <c r="D133" s="14">
        <f>(D$6*(1+0.02*$B132)+D$8)*((1+'User Inputs'!$E$12)^$B132)</f>
        <v>462851.00571519812</v>
      </c>
      <c r="E133" s="14">
        <f>(E$6*(1+0.02*$B132)+E$8)*((1+'User Inputs'!$E$12)^$B132)</f>
        <v>0</v>
      </c>
      <c r="F133" s="14">
        <f>(F$6*(1+0.02*$B132)+F$8)*((1+'User Inputs'!$E$12)^$B132)</f>
        <v>0</v>
      </c>
      <c r="G133" s="104"/>
    </row>
    <row r="134" spans="1:7" x14ac:dyDescent="0.25">
      <c r="A134" s="4" t="s">
        <v>42</v>
      </c>
      <c r="B134" s="33">
        <v>34</v>
      </c>
      <c r="C134" s="14">
        <f>(C$6*(1+0.02*$B133)+C$8)*((1+'User Inputs'!$E$12)^$B133)</f>
        <v>462520.92609425948</v>
      </c>
      <c r="D134" s="14">
        <f>(D$6*(1+0.02*$B133)+D$8)*((1+'User Inputs'!$E$12)^$B133)</f>
        <v>477865.44077864243</v>
      </c>
      <c r="E134" s="14">
        <f>(E$6*(1+0.02*$B133)+E$8)*((1+'User Inputs'!$E$12)^$B133)</f>
        <v>0</v>
      </c>
      <c r="F134" s="14">
        <f>(F$6*(1+0.02*$B133)+F$8)*((1+'User Inputs'!$E$12)^$B133)</f>
        <v>0</v>
      </c>
      <c r="G134" s="104"/>
    </row>
    <row r="135" spans="1:7" x14ac:dyDescent="0.25">
      <c r="A135" s="4" t="s">
        <v>42</v>
      </c>
      <c r="B135" s="33">
        <v>35</v>
      </c>
      <c r="C135" s="14">
        <f>(C$6*(1+0.02*$B134)+C$8)*((1+'User Inputs'!$E$12)^$B134)</f>
        <v>473811.786464784</v>
      </c>
      <c r="D135" s="14">
        <f>(D$6*(1+0.02*$B134)+D$8)*((1+'User Inputs'!$E$12)^$B134)</f>
        <v>493295.31284233829</v>
      </c>
      <c r="E135" s="14">
        <f>(E$6*(1+0.02*$B134)+E$8)*((1+'User Inputs'!$E$12)^$B134)</f>
        <v>0</v>
      </c>
      <c r="F135" s="14">
        <f>(F$6*(1+0.02*$B134)+F$8)*((1+'User Inputs'!$E$12)^$B134)</f>
        <v>0</v>
      </c>
      <c r="G135" s="104"/>
    </row>
    <row r="136" spans="1:7" x14ac:dyDescent="0.25">
      <c r="A136" s="4" t="s">
        <v>42</v>
      </c>
      <c r="B136" s="33">
        <v>36</v>
      </c>
      <c r="C136" s="14">
        <f>(C$6*(1+0.02*$B135)+C$8)*((1+'User Inputs'!$E$12)^$B135)</f>
        <v>485369.27287969185</v>
      </c>
      <c r="D136" s="14">
        <f>(D$6*(1+0.02*$B135)+D$8)*((1+'User Inputs'!$E$12)^$B135)</f>
        <v>509151.23361227056</v>
      </c>
      <c r="E136" s="14">
        <f>(E$6*(1+0.02*$B135)+E$8)*((1+'User Inputs'!$E$12)^$B135)</f>
        <v>0</v>
      </c>
      <c r="F136" s="14">
        <f>(F$6*(1+0.02*$B135)+F$8)*((1+'User Inputs'!$E$12)^$B135)</f>
        <v>0</v>
      </c>
      <c r="G136" s="104"/>
    </row>
    <row r="137" spans="1:7" x14ac:dyDescent="0.25">
      <c r="A137" s="4" t="s">
        <v>42</v>
      </c>
      <c r="B137" s="33">
        <v>37</v>
      </c>
      <c r="C137" s="14">
        <f>(C$6*(1+0.02*$B136)+C$8)*((1+'User Inputs'!$E$12)^$B136)</f>
        <v>497199.53403661004</v>
      </c>
      <c r="D137" s="14">
        <f>(D$6*(1+0.02*$B136)+D$8)*((1+'User Inputs'!$E$12)^$B136)</f>
        <v>525444.07308786316</v>
      </c>
      <c r="E137" s="14">
        <f>(E$6*(1+0.02*$B136)+E$8)*((1+'User Inputs'!$E$12)^$B136)</f>
        <v>0</v>
      </c>
      <c r="F137" s="14">
        <f>(F$6*(1+0.02*$B136)+F$8)*((1+'User Inputs'!$E$12)^$B136)</f>
        <v>0</v>
      </c>
      <c r="G137" s="104"/>
    </row>
    <row r="138" spans="1:7" x14ac:dyDescent="0.25">
      <c r="A138" s="4" t="s">
        <v>42</v>
      </c>
      <c r="B138" s="33">
        <v>38</v>
      </c>
      <c r="C138" s="14">
        <f>(C$6*(1+0.02*$B137)+C$8)*((1+'User Inputs'!$E$12)^$B137)</f>
        <v>509308.85793065326</v>
      </c>
      <c r="D138" s="14">
        <f>(D$6*(1+0.02*$B137)+D$8)*((1+'User Inputs'!$E$12)^$B137)</f>
        <v>542184.96564903471</v>
      </c>
      <c r="E138" s="14">
        <f>(E$6*(1+0.02*$B137)+E$8)*((1+'User Inputs'!$E$12)^$B137)</f>
        <v>0</v>
      </c>
      <c r="F138" s="14">
        <f>(F$6*(1+0.02*$B137)+F$8)*((1+'User Inputs'!$E$12)^$B137)</f>
        <v>0</v>
      </c>
      <c r="G138" s="104"/>
    </row>
    <row r="139" spans="1:7" x14ac:dyDescent="0.25">
      <c r="A139" s="4" t="s">
        <v>42</v>
      </c>
      <c r="B139" s="33">
        <v>39</v>
      </c>
      <c r="C139" s="14">
        <f>(C$6*(1+0.02*$B138)+C$8)*((1+'User Inputs'!$E$12)^$B138)</f>
        <v>521703.67496684351</v>
      </c>
      <c r="D139" s="14">
        <f>(D$6*(1+0.02*$B138)+D$8)*((1+'User Inputs'!$E$12)^$B138)</f>
        <v>559385.31628341787</v>
      </c>
      <c r="E139" s="14">
        <f>(E$6*(1+0.02*$B138)+E$8)*((1+'User Inputs'!$E$12)^$B138)</f>
        <v>0</v>
      </c>
      <c r="F139" s="14">
        <f>(F$6*(1+0.02*$B138)+F$8)*((1+'User Inputs'!$E$12)^$B138)</f>
        <v>0</v>
      </c>
      <c r="G139" s="104"/>
    </row>
    <row r="140" spans="1:7" x14ac:dyDescent="0.25">
      <c r="A140" s="4" t="s">
        <v>42</v>
      </c>
      <c r="B140" s="33">
        <v>40</v>
      </c>
      <c r="C140" s="14">
        <f>(C$6*(1+0.02*$B139)+C$8)*((1+'User Inputs'!$E$12)^$B139)</f>
        <v>534390.56114130886</v>
      </c>
      <c r="D140" s="14">
        <f>(D$6*(1+0.02*$B139)+D$8)*((1+'User Inputs'!$E$12)^$B139)</f>
        <v>577056.80695691658</v>
      </c>
      <c r="E140" s="14">
        <f>(E$6*(1+0.02*$B139)+E$8)*((1+'User Inputs'!$E$12)^$B139)</f>
        <v>0</v>
      </c>
      <c r="F140" s="14">
        <f>(F$6*(1+0.02*$B139)+F$8)*((1+'User Inputs'!$E$12)^$B139)</f>
        <v>0</v>
      </c>
      <c r="G140" s="104"/>
    </row>
    <row r="142" spans="1:7" ht="30" x14ac:dyDescent="0.25">
      <c r="A142" s="38" t="s">
        <v>152</v>
      </c>
      <c r="B142" s="34"/>
      <c r="C142" s="37"/>
    </row>
    <row r="143" spans="1:7" x14ac:dyDescent="0.25">
      <c r="A143" s="4" t="s">
        <v>42</v>
      </c>
      <c r="B143" s="33">
        <v>0</v>
      </c>
      <c r="C143" s="14">
        <f>0</f>
        <v>0</v>
      </c>
      <c r="D143" s="14">
        <f>0</f>
        <v>0</v>
      </c>
      <c r="E143" s="14">
        <f>0</f>
        <v>0</v>
      </c>
      <c r="F143" s="14">
        <f>0</f>
        <v>0</v>
      </c>
      <c r="G143" s="104"/>
    </row>
    <row r="144" spans="1:7" x14ac:dyDescent="0.25">
      <c r="A144" s="4" t="s">
        <v>42</v>
      </c>
      <c r="B144" s="33">
        <v>1</v>
      </c>
      <c r="C144" s="14">
        <f>C$7</f>
        <v>92232.452830188675</v>
      </c>
      <c r="D144" s="14">
        <f t="shared" ref="D144:F144" si="18">D$7</f>
        <v>173163.67346938775</v>
      </c>
      <c r="E144" s="14">
        <f t="shared" si="18"/>
        <v>0</v>
      </c>
      <c r="F144" s="14">
        <f t="shared" si="18"/>
        <v>0</v>
      </c>
      <c r="G144" s="104"/>
    </row>
    <row r="145" spans="1:7" x14ac:dyDescent="0.25">
      <c r="A145" s="4" t="s">
        <v>42</v>
      </c>
      <c r="B145" s="33">
        <v>2</v>
      </c>
      <c r="C145" s="14">
        <f>C$7*((1+'User Inputs'!$E$12)^$B144)</f>
        <v>94077.101886792443</v>
      </c>
      <c r="D145" s="14">
        <f>D$7*((1+'User Inputs'!$E$12)^$B144)</f>
        <v>176626.94693877551</v>
      </c>
      <c r="E145" s="14">
        <f>E$7*((1+'User Inputs'!$E$12)^$B144)</f>
        <v>0</v>
      </c>
      <c r="F145" s="14">
        <f>F$7*((1+'User Inputs'!$E$12)^$B144)</f>
        <v>0</v>
      </c>
      <c r="G145" s="104"/>
    </row>
    <row r="146" spans="1:7" x14ac:dyDescent="0.25">
      <c r="A146" s="4" t="s">
        <v>42</v>
      </c>
      <c r="B146" s="33">
        <v>3</v>
      </c>
      <c r="C146" s="14">
        <f>C$7*((1+'User Inputs'!$E$12)^$B145)</f>
        <v>95958.643924528296</v>
      </c>
      <c r="D146" s="14">
        <f>D$7*((1+'User Inputs'!$E$12)^$B145)</f>
        <v>180159.48587755102</v>
      </c>
      <c r="E146" s="14">
        <f>E$7*((1+'User Inputs'!$E$12)^$B145)</f>
        <v>0</v>
      </c>
      <c r="F146" s="14">
        <f>F$7*((1+'User Inputs'!$E$12)^$B145)</f>
        <v>0</v>
      </c>
      <c r="G146" s="104"/>
    </row>
    <row r="147" spans="1:7" x14ac:dyDescent="0.25">
      <c r="A147" s="4" t="s">
        <v>42</v>
      </c>
      <c r="B147" s="33">
        <v>4</v>
      </c>
      <c r="C147" s="14">
        <f>C$7*((1+'User Inputs'!$E$12)^$B146)</f>
        <v>97877.816803018854</v>
      </c>
      <c r="D147" s="14">
        <f>D$7*((1+'User Inputs'!$E$12)^$B146)</f>
        <v>183762.67559510202</v>
      </c>
      <c r="E147" s="14">
        <f>E$7*((1+'User Inputs'!$E$12)^$B146)</f>
        <v>0</v>
      </c>
      <c r="F147" s="14">
        <f>F$7*((1+'User Inputs'!$E$12)^$B146)</f>
        <v>0</v>
      </c>
      <c r="G147" s="104"/>
    </row>
    <row r="148" spans="1:7" x14ac:dyDescent="0.25">
      <c r="A148" s="4" t="s">
        <v>42</v>
      </c>
      <c r="B148" s="33">
        <v>5</v>
      </c>
      <c r="C148" s="14">
        <f>C$7*((1+'User Inputs'!$E$12)^$B147)</f>
        <v>99835.373139079238</v>
      </c>
      <c r="D148" s="14">
        <f>D$7*((1+'User Inputs'!$E$12)^$B147)</f>
        <v>187437.92910700408</v>
      </c>
      <c r="E148" s="14">
        <f>E$7*((1+'User Inputs'!$E$12)^$B147)</f>
        <v>0</v>
      </c>
      <c r="F148" s="14">
        <f>F$7*((1+'User Inputs'!$E$12)^$B147)</f>
        <v>0</v>
      </c>
      <c r="G148" s="104"/>
    </row>
    <row r="149" spans="1:7" x14ac:dyDescent="0.25">
      <c r="A149" s="4" t="s">
        <v>42</v>
      </c>
      <c r="B149" s="33">
        <v>6</v>
      </c>
      <c r="C149" s="14">
        <f>C$7*((1+'User Inputs'!$E$12)^$B148)</f>
        <v>101832.08060186083</v>
      </c>
      <c r="D149" s="14">
        <f>D$7*((1+'User Inputs'!$E$12)^$B148)</f>
        <v>191186.68768914416</v>
      </c>
      <c r="E149" s="14">
        <f>E$7*((1+'User Inputs'!$E$12)^$B148)</f>
        <v>0</v>
      </c>
      <c r="F149" s="14">
        <f>F$7*((1+'User Inputs'!$E$12)^$B148)</f>
        <v>0</v>
      </c>
      <c r="G149" s="104"/>
    </row>
    <row r="150" spans="1:7" x14ac:dyDescent="0.25">
      <c r="A150" s="4" t="s">
        <v>42</v>
      </c>
      <c r="B150" s="33">
        <v>7</v>
      </c>
      <c r="C150" s="14">
        <f>C$7*((1+'User Inputs'!$E$12)^$B149)</f>
        <v>103868.72221389804</v>
      </c>
      <c r="D150" s="14">
        <f>D$7*((1+'User Inputs'!$E$12)^$B149)</f>
        <v>195010.42144292707</v>
      </c>
      <c r="E150" s="14">
        <f>E$7*((1+'User Inputs'!$E$12)^$B149)</f>
        <v>0</v>
      </c>
      <c r="F150" s="14">
        <f>F$7*((1+'User Inputs'!$E$12)^$B149)</f>
        <v>0</v>
      </c>
      <c r="G150" s="104"/>
    </row>
    <row r="151" spans="1:7" x14ac:dyDescent="0.25">
      <c r="A151" s="4" t="s">
        <v>42</v>
      </c>
      <c r="B151" s="33">
        <v>8</v>
      </c>
      <c r="C151" s="14">
        <f>C$7*((1+'User Inputs'!$E$12)^$B150)</f>
        <v>105946.09665817599</v>
      </c>
      <c r="D151" s="14">
        <f>D$7*((1+'User Inputs'!$E$12)^$B150)</f>
        <v>198910.62987178555</v>
      </c>
      <c r="E151" s="14">
        <f>E$7*((1+'User Inputs'!$E$12)^$B150)</f>
        <v>0</v>
      </c>
      <c r="F151" s="14">
        <f>F$7*((1+'User Inputs'!$E$12)^$B150)</f>
        <v>0</v>
      </c>
      <c r="G151" s="104"/>
    </row>
    <row r="152" spans="1:7" x14ac:dyDescent="0.25">
      <c r="A152" s="4" t="s">
        <v>42</v>
      </c>
      <c r="B152" s="33">
        <v>9</v>
      </c>
      <c r="C152" s="14">
        <f>C$7*((1+'User Inputs'!$E$12)^$B151)</f>
        <v>108065.01859133951</v>
      </c>
      <c r="D152" s="14">
        <f>D$7*((1+'User Inputs'!$E$12)^$B151)</f>
        <v>202888.84246922127</v>
      </c>
      <c r="E152" s="14">
        <f>E$7*((1+'User Inputs'!$E$12)^$B151)</f>
        <v>0</v>
      </c>
      <c r="F152" s="14">
        <f>F$7*((1+'User Inputs'!$E$12)^$B151)</f>
        <v>0</v>
      </c>
      <c r="G152" s="104"/>
    </row>
    <row r="153" spans="1:7" x14ac:dyDescent="0.25">
      <c r="A153" s="4" t="s">
        <v>42</v>
      </c>
      <c r="B153" s="33">
        <v>10</v>
      </c>
      <c r="C153" s="14">
        <f>C$7*((1+'User Inputs'!$E$12)^$B152)</f>
        <v>110226.31896316631</v>
      </c>
      <c r="D153" s="14">
        <f>D$7*((1+'User Inputs'!$E$12)^$B152)</f>
        <v>206946.61931860572</v>
      </c>
      <c r="E153" s="14">
        <f>E$7*((1+'User Inputs'!$E$12)^$B152)</f>
        <v>0</v>
      </c>
      <c r="F153" s="14">
        <f>F$7*((1+'User Inputs'!$E$12)^$B152)</f>
        <v>0</v>
      </c>
      <c r="G153" s="104"/>
    </row>
    <row r="154" spans="1:7" x14ac:dyDescent="0.25">
      <c r="A154" s="4" t="s">
        <v>42</v>
      </c>
      <c r="B154" s="33">
        <v>11</v>
      </c>
      <c r="C154" s="14">
        <f>C$7*((1+'User Inputs'!$E$12)^$B153)</f>
        <v>112430.84534242963</v>
      </c>
      <c r="D154" s="14">
        <f>D$7*((1+'User Inputs'!$E$12)^$B153)</f>
        <v>211085.55170497784</v>
      </c>
      <c r="E154" s="14">
        <f>E$7*((1+'User Inputs'!$E$12)^$B153)</f>
        <v>0</v>
      </c>
      <c r="F154" s="14">
        <f>F$7*((1+'User Inputs'!$E$12)^$B153)</f>
        <v>0</v>
      </c>
      <c r="G154" s="104"/>
    </row>
    <row r="155" spans="1:7" x14ac:dyDescent="0.25">
      <c r="A155" s="4" t="s">
        <v>42</v>
      </c>
      <c r="B155" s="33">
        <v>12</v>
      </c>
      <c r="C155" s="14">
        <f>C$7*((1+'User Inputs'!$E$12)^$B154)</f>
        <v>114679.46224927821</v>
      </c>
      <c r="D155" s="14">
        <f>D$7*((1+'User Inputs'!$E$12)^$B154)</f>
        <v>215307.26273907736</v>
      </c>
      <c r="E155" s="14">
        <f>E$7*((1+'User Inputs'!$E$12)^$B154)</f>
        <v>0</v>
      </c>
      <c r="F155" s="14">
        <f>F$7*((1+'User Inputs'!$E$12)^$B154)</f>
        <v>0</v>
      </c>
      <c r="G155" s="104"/>
    </row>
    <row r="156" spans="1:7" x14ac:dyDescent="0.25">
      <c r="A156" s="4" t="s">
        <v>42</v>
      </c>
      <c r="B156" s="33">
        <v>13</v>
      </c>
      <c r="C156" s="14">
        <f>C$7*((1+'User Inputs'!$E$12)^$B155)</f>
        <v>116973.0514942638</v>
      </c>
      <c r="D156" s="14">
        <f>D$7*((1+'User Inputs'!$E$12)^$B155)</f>
        <v>219613.40799385894</v>
      </c>
      <c r="E156" s="14">
        <f>E$7*((1+'User Inputs'!$E$12)^$B155)</f>
        <v>0</v>
      </c>
      <c r="F156" s="14">
        <f>F$7*((1+'User Inputs'!$E$12)^$B155)</f>
        <v>0</v>
      </c>
      <c r="G156" s="104"/>
    </row>
    <row r="157" spans="1:7" x14ac:dyDescent="0.25">
      <c r="A157" s="4" t="s">
        <v>42</v>
      </c>
      <c r="B157" s="33">
        <v>14</v>
      </c>
      <c r="C157" s="14">
        <f>C$7*((1+'User Inputs'!$E$12)^$B156)</f>
        <v>119312.51252414906</v>
      </c>
      <c r="D157" s="14">
        <f>D$7*((1+'User Inputs'!$E$12)^$B156)</f>
        <v>224005.6761537361</v>
      </c>
      <c r="E157" s="14">
        <f>E$7*((1+'User Inputs'!$E$12)^$B156)</f>
        <v>0</v>
      </c>
      <c r="F157" s="14">
        <f>F$7*((1+'User Inputs'!$E$12)^$B156)</f>
        <v>0</v>
      </c>
      <c r="G157" s="104"/>
    </row>
    <row r="158" spans="1:7" x14ac:dyDescent="0.25">
      <c r="A158" s="4" t="s">
        <v>42</v>
      </c>
      <c r="B158" s="33">
        <v>15</v>
      </c>
      <c r="C158" s="14">
        <f>C$7*((1+'User Inputs'!$E$12)^$B157)</f>
        <v>121698.76277463205</v>
      </c>
      <c r="D158" s="14">
        <f>D$7*((1+'User Inputs'!$E$12)^$B157)</f>
        <v>228485.78967681085</v>
      </c>
      <c r="E158" s="14">
        <f>E$7*((1+'User Inputs'!$E$12)^$B157)</f>
        <v>0</v>
      </c>
      <c r="F158" s="14">
        <f>F$7*((1+'User Inputs'!$E$12)^$B157)</f>
        <v>0</v>
      </c>
      <c r="G158" s="104"/>
    </row>
    <row r="159" spans="1:7" x14ac:dyDescent="0.25">
      <c r="A159" s="4" t="s">
        <v>42</v>
      </c>
      <c r="B159" s="33">
        <v>16</v>
      </c>
      <c r="C159" s="14">
        <f>C$7*((1+'User Inputs'!$E$12)^$B158)</f>
        <v>124132.73803012466</v>
      </c>
      <c r="D159" s="14">
        <f>D$7*((1+'User Inputs'!$E$12)^$B158)</f>
        <v>233055.50547034698</v>
      </c>
      <c r="E159" s="14">
        <f>E$7*((1+'User Inputs'!$E$12)^$B158)</f>
        <v>0</v>
      </c>
      <c r="F159" s="14">
        <f>F$7*((1+'User Inputs'!$E$12)^$B158)</f>
        <v>0</v>
      </c>
      <c r="G159" s="104"/>
    </row>
    <row r="160" spans="1:7" x14ac:dyDescent="0.25">
      <c r="A160" s="4" t="s">
        <v>42</v>
      </c>
      <c r="B160" s="33">
        <v>17</v>
      </c>
      <c r="C160" s="14">
        <f>C$7*((1+'User Inputs'!$E$12)^$B159)</f>
        <v>126615.39279072717</v>
      </c>
      <c r="D160" s="14">
        <f>D$7*((1+'User Inputs'!$E$12)^$B159)</f>
        <v>237716.61557975397</v>
      </c>
      <c r="E160" s="14">
        <f>E$7*((1+'User Inputs'!$E$12)^$B159)</f>
        <v>0</v>
      </c>
      <c r="F160" s="14">
        <f>F$7*((1+'User Inputs'!$E$12)^$B159)</f>
        <v>0</v>
      </c>
      <c r="G160" s="104"/>
    </row>
    <row r="161" spans="1:7" x14ac:dyDescent="0.25">
      <c r="A161" s="4" t="s">
        <v>42</v>
      </c>
      <c r="B161" s="33">
        <v>18</v>
      </c>
      <c r="C161" s="14">
        <f>C$7*((1+'User Inputs'!$E$12)^$B160)</f>
        <v>129147.70064654174</v>
      </c>
      <c r="D161" s="14">
        <f>D$7*((1+'User Inputs'!$E$12)^$B160)</f>
        <v>242470.94789134906</v>
      </c>
      <c r="E161" s="14">
        <f>E$7*((1+'User Inputs'!$E$12)^$B160)</f>
        <v>0</v>
      </c>
      <c r="F161" s="14">
        <f>F$7*((1+'User Inputs'!$E$12)^$B160)</f>
        <v>0</v>
      </c>
      <c r="G161" s="104"/>
    </row>
    <row r="162" spans="1:7" x14ac:dyDescent="0.25">
      <c r="A162" s="4" t="s">
        <v>42</v>
      </c>
      <c r="B162" s="33">
        <v>19</v>
      </c>
      <c r="C162" s="14">
        <f>C$7*((1+'User Inputs'!$E$12)^$B161)</f>
        <v>131730.65465947255</v>
      </c>
      <c r="D162" s="14">
        <f>D$7*((1+'User Inputs'!$E$12)^$B161)</f>
        <v>247320.36684917603</v>
      </c>
      <c r="E162" s="14">
        <f>E$7*((1+'User Inputs'!$E$12)^$B161)</f>
        <v>0</v>
      </c>
      <c r="F162" s="14">
        <f>F$7*((1+'User Inputs'!$E$12)^$B161)</f>
        <v>0</v>
      </c>
      <c r="G162" s="104"/>
    </row>
    <row r="163" spans="1:7" x14ac:dyDescent="0.25">
      <c r="A163" s="4" t="s">
        <v>42</v>
      </c>
      <c r="B163" s="33">
        <v>20</v>
      </c>
      <c r="C163" s="14">
        <f>C$7*((1+'User Inputs'!$E$12)^$B162)</f>
        <v>134365.26775266201</v>
      </c>
      <c r="D163" s="14">
        <f>D$7*((1+'User Inputs'!$E$12)^$B162)</f>
        <v>252266.77418615954</v>
      </c>
      <c r="E163" s="14">
        <f>E$7*((1+'User Inputs'!$E$12)^$B162)</f>
        <v>0</v>
      </c>
      <c r="F163" s="14">
        <f>F$7*((1+'User Inputs'!$E$12)^$B162)</f>
        <v>0</v>
      </c>
      <c r="G163" s="104"/>
    </row>
    <row r="164" spans="1:7" x14ac:dyDescent="0.25">
      <c r="A164" s="4" t="s">
        <v>42</v>
      </c>
      <c r="B164" s="33">
        <v>21</v>
      </c>
      <c r="C164" s="14">
        <f>C$7*((1+'User Inputs'!$E$12)^$B163)</f>
        <v>137052.57310771526</v>
      </c>
      <c r="D164" s="14">
        <f>D$7*((1+'User Inputs'!$E$12)^$B163)</f>
        <v>257312.10966988275</v>
      </c>
      <c r="E164" s="14">
        <f>E$7*((1+'User Inputs'!$E$12)^$B163)</f>
        <v>0</v>
      </c>
      <c r="F164" s="14">
        <f>F$7*((1+'User Inputs'!$E$12)^$B163)</f>
        <v>0</v>
      </c>
      <c r="G164" s="104"/>
    </row>
    <row r="165" spans="1:7" x14ac:dyDescent="0.25">
      <c r="A165" s="4" t="s">
        <v>42</v>
      </c>
      <c r="B165" s="33">
        <v>22</v>
      </c>
      <c r="C165" s="14">
        <f>C$7*((1+'User Inputs'!$E$12)^$B164)</f>
        <v>139793.62456986954</v>
      </c>
      <c r="D165" s="14">
        <f>D$7*((1+'User Inputs'!$E$12)^$B164)</f>
        <v>262458.3518632804</v>
      </c>
      <c r="E165" s="14">
        <f>E$7*((1+'User Inputs'!$E$12)^$B164)</f>
        <v>0</v>
      </c>
      <c r="F165" s="14">
        <f>F$7*((1+'User Inputs'!$E$12)^$B164)</f>
        <v>0</v>
      </c>
      <c r="G165" s="104"/>
    </row>
    <row r="166" spans="1:7" x14ac:dyDescent="0.25">
      <c r="A166" s="4" t="s">
        <v>42</v>
      </c>
      <c r="B166" s="33">
        <v>23</v>
      </c>
      <c r="C166" s="14">
        <f>C$7*((1+'User Inputs'!$E$12)^$B165)</f>
        <v>142589.49706126694</v>
      </c>
      <c r="D166" s="14">
        <f>D$7*((1+'User Inputs'!$E$12)^$B165)</f>
        <v>267707.51890054601</v>
      </c>
      <c r="E166" s="14">
        <f>E$7*((1+'User Inputs'!$E$12)^$B165)</f>
        <v>0</v>
      </c>
      <c r="F166" s="14">
        <f>F$7*((1+'User Inputs'!$E$12)^$B165)</f>
        <v>0</v>
      </c>
      <c r="G166" s="104"/>
    </row>
    <row r="167" spans="1:7" x14ac:dyDescent="0.25">
      <c r="A167" s="4" t="s">
        <v>42</v>
      </c>
      <c r="B167" s="33">
        <v>24</v>
      </c>
      <c r="C167" s="14">
        <f>C$7*((1+'User Inputs'!$E$12)^$B166)</f>
        <v>145441.28700249226</v>
      </c>
      <c r="D167" s="14">
        <f>D$7*((1+'User Inputs'!$E$12)^$B166)</f>
        <v>273061.66927855689</v>
      </c>
      <c r="E167" s="14">
        <f>E$7*((1+'User Inputs'!$E$12)^$B166)</f>
        <v>0</v>
      </c>
      <c r="F167" s="14">
        <f>F$7*((1+'User Inputs'!$E$12)^$B166)</f>
        <v>0</v>
      </c>
      <c r="G167" s="104"/>
    </row>
    <row r="168" spans="1:7" x14ac:dyDescent="0.25">
      <c r="A168" s="4" t="s">
        <v>42</v>
      </c>
      <c r="B168" s="33">
        <v>25</v>
      </c>
      <c r="C168" s="14">
        <f>C$7*((1+'User Inputs'!$E$12)^$B167)</f>
        <v>148350.11274254211</v>
      </c>
      <c r="D168" s="14">
        <f>D$7*((1+'User Inputs'!$E$12)^$B167)</f>
        <v>278522.90266412805</v>
      </c>
      <c r="E168" s="14">
        <f>E$7*((1+'User Inputs'!$E$12)^$B167)</f>
        <v>0</v>
      </c>
      <c r="F168" s="14">
        <f>F$7*((1+'User Inputs'!$E$12)^$B167)</f>
        <v>0</v>
      </c>
      <c r="G168" s="104"/>
    </row>
    <row r="169" spans="1:7" x14ac:dyDescent="0.25">
      <c r="A169" s="4" t="s">
        <v>42</v>
      </c>
      <c r="B169" s="33">
        <v>26</v>
      </c>
      <c r="C169" s="14">
        <f>C$7*((1+'User Inputs'!$E$12)^$B168)</f>
        <v>151317.11499739296</v>
      </c>
      <c r="D169" s="14">
        <f>D$7*((1+'User Inputs'!$E$12)^$B168)</f>
        <v>284093.36071741057</v>
      </c>
      <c r="E169" s="14">
        <f>E$7*((1+'User Inputs'!$E$12)^$B168)</f>
        <v>0</v>
      </c>
      <c r="F169" s="14">
        <f>F$7*((1+'User Inputs'!$E$12)^$B168)</f>
        <v>0</v>
      </c>
    </row>
    <row r="170" spans="1:7" x14ac:dyDescent="0.25">
      <c r="A170" s="4" t="s">
        <v>42</v>
      </c>
      <c r="B170" s="33">
        <v>27</v>
      </c>
      <c r="C170" s="14">
        <f>C$7*((1+'User Inputs'!$E$12)^$B169)</f>
        <v>154343.45729734082</v>
      </c>
      <c r="D170" s="14">
        <f>D$7*((1+'User Inputs'!$E$12)^$B169)</f>
        <v>289775.22793175885</v>
      </c>
      <c r="E170" s="14">
        <f>E$7*((1+'User Inputs'!$E$12)^$B169)</f>
        <v>0</v>
      </c>
      <c r="F170" s="14">
        <f>F$7*((1+'User Inputs'!$E$12)^$B169)</f>
        <v>0</v>
      </c>
    </row>
    <row r="171" spans="1:7" x14ac:dyDescent="0.25">
      <c r="A171" s="4" t="s">
        <v>42</v>
      </c>
      <c r="B171" s="33">
        <v>28</v>
      </c>
      <c r="C171" s="14">
        <f>C$7*((1+'User Inputs'!$E$12)^$B170)</f>
        <v>157430.3264432876</v>
      </c>
      <c r="D171" s="14">
        <f>D$7*((1+'User Inputs'!$E$12)^$B170)</f>
        <v>295570.73249039397</v>
      </c>
      <c r="E171" s="14">
        <f>E$7*((1+'User Inputs'!$E$12)^$B170)</f>
        <v>0</v>
      </c>
      <c r="F171" s="14">
        <f>F$7*((1+'User Inputs'!$E$12)^$B170)</f>
        <v>0</v>
      </c>
    </row>
    <row r="172" spans="1:7" x14ac:dyDescent="0.25">
      <c r="A172" s="4" t="s">
        <v>42</v>
      </c>
      <c r="B172" s="33">
        <v>29</v>
      </c>
      <c r="C172" s="14">
        <f>C$7*((1+'User Inputs'!$E$12)^$B171)</f>
        <v>160578.93297215339</v>
      </c>
      <c r="D172" s="14">
        <f>D$7*((1+'User Inputs'!$E$12)^$B171)</f>
        <v>301482.14714020188</v>
      </c>
      <c r="E172" s="14">
        <f>E$7*((1+'User Inputs'!$E$12)^$B171)</f>
        <v>0</v>
      </c>
      <c r="F172" s="14">
        <f>F$7*((1+'User Inputs'!$E$12)^$B171)</f>
        <v>0</v>
      </c>
    </row>
    <row r="173" spans="1:7" x14ac:dyDescent="0.25">
      <c r="A173" s="4" t="s">
        <v>42</v>
      </c>
      <c r="B173" s="33">
        <v>30</v>
      </c>
      <c r="C173" s="14">
        <f>C$7*((1+'User Inputs'!$E$12)^$B172)</f>
        <v>163790.51163159646</v>
      </c>
      <c r="D173" s="14">
        <f>D$7*((1+'User Inputs'!$E$12)^$B172)</f>
        <v>307511.79008300591</v>
      </c>
      <c r="E173" s="14">
        <f>E$7*((1+'User Inputs'!$E$12)^$B172)</f>
        <v>0</v>
      </c>
      <c r="F173" s="14">
        <f>F$7*((1+'User Inputs'!$E$12)^$B172)</f>
        <v>0</v>
      </c>
    </row>
    <row r="174" spans="1:7" x14ac:dyDescent="0.25">
      <c r="A174" s="4" t="s">
        <v>42</v>
      </c>
      <c r="B174" s="33">
        <v>31</v>
      </c>
      <c r="C174" s="14">
        <f>C$7*((1+'User Inputs'!$E$12)^$B173)</f>
        <v>167066.32186422838</v>
      </c>
      <c r="D174" s="14">
        <f>D$7*((1+'User Inputs'!$E$12)^$B173)</f>
        <v>313662.02588466601</v>
      </c>
      <c r="E174" s="14">
        <f>E$7*((1+'User Inputs'!$E$12)^$B173)</f>
        <v>0</v>
      </c>
      <c r="F174" s="14">
        <f>F$7*((1+'User Inputs'!$E$12)^$B173)</f>
        <v>0</v>
      </c>
    </row>
    <row r="175" spans="1:7" x14ac:dyDescent="0.25">
      <c r="A175" s="4" t="s">
        <v>42</v>
      </c>
      <c r="B175" s="33">
        <v>32</v>
      </c>
      <c r="C175" s="14">
        <f>C$7*((1+'User Inputs'!$E$12)^$B174)</f>
        <v>170407.64830151291</v>
      </c>
      <c r="D175" s="14">
        <f>D$7*((1+'User Inputs'!$E$12)^$B174)</f>
        <v>319935.2664023593</v>
      </c>
      <c r="E175" s="14">
        <f>E$7*((1+'User Inputs'!$E$12)^$B174)</f>
        <v>0</v>
      </c>
      <c r="F175" s="14">
        <f>F$7*((1+'User Inputs'!$E$12)^$B174)</f>
        <v>0</v>
      </c>
    </row>
    <row r="176" spans="1:7" x14ac:dyDescent="0.25">
      <c r="A176" s="4" t="s">
        <v>42</v>
      </c>
      <c r="B176" s="33">
        <v>33</v>
      </c>
      <c r="C176" s="14">
        <f>C$7*((1+'User Inputs'!$E$12)^$B175)</f>
        <v>173815.8012675432</v>
      </c>
      <c r="D176" s="14">
        <f>D$7*((1+'User Inputs'!$E$12)^$B175)</f>
        <v>326333.97173040651</v>
      </c>
      <c r="E176" s="14">
        <f>E$7*((1+'User Inputs'!$E$12)^$B175)</f>
        <v>0</v>
      </c>
      <c r="F176" s="14">
        <f>F$7*((1+'User Inputs'!$E$12)^$B175)</f>
        <v>0</v>
      </c>
    </row>
    <row r="177" spans="1:6" x14ac:dyDescent="0.25">
      <c r="A177" s="4" t="s">
        <v>42</v>
      </c>
      <c r="B177" s="33">
        <v>34</v>
      </c>
      <c r="C177" s="14">
        <f>C$7*((1+'User Inputs'!$E$12)^$B176)</f>
        <v>177292.11729289408</v>
      </c>
      <c r="D177" s="14">
        <f>D$7*((1+'User Inputs'!$E$12)^$B176)</f>
        <v>332860.65116501471</v>
      </c>
      <c r="E177" s="14">
        <f>E$7*((1+'User Inputs'!$E$12)^$B176)</f>
        <v>0</v>
      </c>
      <c r="F177" s="14">
        <f>F$7*((1+'User Inputs'!$E$12)^$B176)</f>
        <v>0</v>
      </c>
    </row>
    <row r="178" spans="1:6" x14ac:dyDescent="0.25">
      <c r="A178" s="4" t="s">
        <v>42</v>
      </c>
      <c r="B178" s="33">
        <v>35</v>
      </c>
      <c r="C178" s="14">
        <f>C$7*((1+'User Inputs'!$E$12)^$B177)</f>
        <v>180837.95963875196</v>
      </c>
      <c r="D178" s="14">
        <f>D$7*((1+'User Inputs'!$E$12)^$B177)</f>
        <v>339517.86418831494</v>
      </c>
      <c r="E178" s="14">
        <f>E$7*((1+'User Inputs'!$E$12)^$B177)</f>
        <v>0</v>
      </c>
      <c r="F178" s="14">
        <f>F$7*((1+'User Inputs'!$E$12)^$B177)</f>
        <v>0</v>
      </c>
    </row>
    <row r="179" spans="1:6" x14ac:dyDescent="0.25">
      <c r="A179" s="4" t="s">
        <v>42</v>
      </c>
      <c r="B179" s="33">
        <v>36</v>
      </c>
      <c r="C179" s="14">
        <f>C$7*((1+'User Inputs'!$E$12)^$B178)</f>
        <v>184454.71883152699</v>
      </c>
      <c r="D179" s="14">
        <f>D$7*((1+'User Inputs'!$E$12)^$B178)</f>
        <v>346308.22147208126</v>
      </c>
      <c r="E179" s="14">
        <f>E$7*((1+'User Inputs'!$E$12)^$B178)</f>
        <v>0</v>
      </c>
      <c r="F179" s="14">
        <f>F$7*((1+'User Inputs'!$E$12)^$B178)</f>
        <v>0</v>
      </c>
    </row>
    <row r="180" spans="1:6" x14ac:dyDescent="0.25">
      <c r="A180" s="4" t="s">
        <v>42</v>
      </c>
      <c r="B180" s="33">
        <v>37</v>
      </c>
      <c r="C180" s="14">
        <f>C$7*((1+'User Inputs'!$E$12)^$B179)</f>
        <v>188143.81320815752</v>
      </c>
      <c r="D180" s="14">
        <f>D$7*((1+'User Inputs'!$E$12)^$B179)</f>
        <v>353234.38590152282</v>
      </c>
      <c r="E180" s="14">
        <f>E$7*((1+'User Inputs'!$E$12)^$B179)</f>
        <v>0</v>
      </c>
      <c r="F180" s="14">
        <f>F$7*((1+'User Inputs'!$E$12)^$B179)</f>
        <v>0</v>
      </c>
    </row>
    <row r="181" spans="1:6" x14ac:dyDescent="0.25">
      <c r="A181" s="4" t="s">
        <v>42</v>
      </c>
      <c r="B181" s="33">
        <v>38</v>
      </c>
      <c r="C181" s="14">
        <f>C$7*((1+'User Inputs'!$E$12)^$B180)</f>
        <v>191906.68947232069</v>
      </c>
      <c r="D181" s="14">
        <f>D$7*((1+'User Inputs'!$E$12)^$B180)</f>
        <v>360299.07361955335</v>
      </c>
      <c r="E181" s="14">
        <f>E$7*((1+'User Inputs'!$E$12)^$B180)</f>
        <v>0</v>
      </c>
      <c r="F181" s="14">
        <f>F$7*((1+'User Inputs'!$E$12)^$B180)</f>
        <v>0</v>
      </c>
    </row>
    <row r="182" spans="1:6" x14ac:dyDescent="0.25">
      <c r="A182" s="4" t="s">
        <v>42</v>
      </c>
      <c r="B182" s="33">
        <v>39</v>
      </c>
      <c r="C182" s="14">
        <f>C$7*((1+'User Inputs'!$E$12)^$B181)</f>
        <v>195744.82326176713</v>
      </c>
      <c r="D182" s="14">
        <f>D$7*((1+'User Inputs'!$E$12)^$B181)</f>
        <v>367505.05509194446</v>
      </c>
      <c r="E182" s="14">
        <f>E$7*((1+'User Inputs'!$E$12)^$B181)</f>
        <v>0</v>
      </c>
      <c r="F182" s="14">
        <f>F$7*((1+'User Inputs'!$E$12)^$B181)</f>
        <v>0</v>
      </c>
    </row>
    <row r="183" spans="1:6" x14ac:dyDescent="0.25">
      <c r="A183" s="4" t="s">
        <v>42</v>
      </c>
      <c r="B183" s="33">
        <v>40</v>
      </c>
      <c r="C183" s="14">
        <f>C$7*((1+'User Inputs'!$E$12)^$B182)</f>
        <v>199659.7197270024</v>
      </c>
      <c r="D183" s="14">
        <f>D$7*((1+'User Inputs'!$E$12)^$B182)</f>
        <v>374855.15619378322</v>
      </c>
      <c r="E183" s="14">
        <f>E$7*((1+'User Inputs'!$E$12)^$B182)</f>
        <v>0</v>
      </c>
      <c r="F183" s="14">
        <f>F$7*((1+'User Inputs'!$E$12)^$B182)</f>
        <v>0</v>
      </c>
    </row>
  </sheetData>
  <sheetProtection password="EF95" sheet="1" objects="1" scenarios="1"/>
  <pageMargins left="0.25" right="0.25" top="0.75" bottom="0.75" header="0.3" footer="0.3"/>
  <pageSetup orientation="landscape" r:id="rId1"/>
  <headerFooter>
    <oddHeader xml:space="preserve">&amp;COperating Costs
</oddHeader>
    <oddFooter>&amp;C&amp;D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zoomScale="115" zoomScaleNormal="115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sqref="A1:B1"/>
    </sheetView>
  </sheetViews>
  <sheetFormatPr defaultRowHeight="15" x14ac:dyDescent="0.25"/>
  <cols>
    <col min="1" max="1" width="16" customWidth="1"/>
    <col min="2" max="2" width="4.85546875" customWidth="1"/>
    <col min="3" max="3" width="10.85546875" customWidth="1"/>
    <col min="4" max="4" width="10.5703125" customWidth="1"/>
    <col min="5" max="7" width="9.7109375" customWidth="1"/>
    <col min="8" max="8" width="10.140625" customWidth="1"/>
    <col min="9" max="9" width="10.7109375" customWidth="1"/>
    <col min="10" max="10" width="11" customWidth="1"/>
    <col min="11" max="11" width="10.42578125" customWidth="1"/>
    <col min="12" max="12" width="11" customWidth="1"/>
    <col min="13" max="13" width="11.28515625" customWidth="1"/>
    <col min="14" max="14" width="11" bestFit="1" customWidth="1"/>
    <col min="17" max="17" width="16.7109375" bestFit="1" customWidth="1"/>
  </cols>
  <sheetData>
    <row r="1" spans="1:14" x14ac:dyDescent="0.25">
      <c r="A1" s="422" t="s">
        <v>193</v>
      </c>
      <c r="B1" s="423"/>
    </row>
    <row r="2" spans="1:14" x14ac:dyDescent="0.25">
      <c r="A2" s="1"/>
      <c r="B2" s="10"/>
      <c r="C2" s="11"/>
      <c r="D2" s="5"/>
      <c r="E2" s="5"/>
      <c r="F2" s="5"/>
      <c r="G2" s="5"/>
      <c r="H2" s="5"/>
      <c r="I2" s="5"/>
      <c r="J2" s="5"/>
      <c r="K2" s="12"/>
      <c r="L2" s="12"/>
      <c r="M2" s="12"/>
    </row>
    <row r="3" spans="1:14" ht="36.75" x14ac:dyDescent="0.25">
      <c r="A3" s="1"/>
      <c r="B3" s="1"/>
      <c r="C3" s="49" t="s">
        <v>173</v>
      </c>
      <c r="D3" s="49" t="s">
        <v>171</v>
      </c>
      <c r="E3" s="49" t="s">
        <v>172</v>
      </c>
      <c r="F3" s="49" t="s">
        <v>174</v>
      </c>
      <c r="G3" s="49" t="s">
        <v>195</v>
      </c>
      <c r="H3" s="49" t="s">
        <v>175</v>
      </c>
      <c r="I3" s="49" t="s">
        <v>176</v>
      </c>
      <c r="J3" s="211" t="s">
        <v>177</v>
      </c>
      <c r="K3" s="227" t="s">
        <v>205</v>
      </c>
      <c r="L3" s="49" t="s">
        <v>204</v>
      </c>
      <c r="M3" s="49" t="s">
        <v>203</v>
      </c>
      <c r="N3" s="49" t="s">
        <v>206</v>
      </c>
    </row>
    <row r="4" spans="1:14" s="60" customFormat="1" x14ac:dyDescent="0.25">
      <c r="A4" s="350" t="s">
        <v>61</v>
      </c>
      <c r="B4" s="61"/>
      <c r="C4" s="62"/>
      <c r="D4" s="62"/>
      <c r="E4" s="62"/>
      <c r="F4" s="62"/>
      <c r="G4" s="62"/>
      <c r="H4" s="62"/>
      <c r="I4" s="62"/>
      <c r="J4" s="212"/>
      <c r="K4" s="228"/>
      <c r="L4" s="62"/>
      <c r="M4" s="62"/>
      <c r="N4" s="62"/>
    </row>
    <row r="5" spans="1:14" x14ac:dyDescent="0.25">
      <c r="A5" s="81" t="s">
        <v>16</v>
      </c>
      <c r="B5" s="6"/>
      <c r="C5" s="180">
        <v>16</v>
      </c>
      <c r="D5" s="182">
        <v>8</v>
      </c>
      <c r="E5" s="1">
        <v>12</v>
      </c>
      <c r="F5" s="1">
        <v>8</v>
      </c>
      <c r="G5" s="1">
        <v>23</v>
      </c>
      <c r="H5" s="1">
        <v>10</v>
      </c>
      <c r="I5" s="1">
        <v>21</v>
      </c>
      <c r="J5" s="213">
        <v>8</v>
      </c>
      <c r="K5" s="229">
        <v>5</v>
      </c>
      <c r="L5" s="1">
        <v>9</v>
      </c>
      <c r="M5" s="1">
        <v>9</v>
      </c>
      <c r="N5" s="1">
        <v>39</v>
      </c>
    </row>
    <row r="6" spans="1:14" x14ac:dyDescent="0.25">
      <c r="A6" s="81" t="s">
        <v>17</v>
      </c>
      <c r="B6" s="6"/>
      <c r="C6" s="180">
        <v>30</v>
      </c>
      <c r="D6" s="182">
        <v>24</v>
      </c>
      <c r="E6" s="1">
        <v>30</v>
      </c>
      <c r="F6" s="1">
        <v>22</v>
      </c>
      <c r="G6" s="1">
        <v>38</v>
      </c>
      <c r="H6" s="1">
        <v>20</v>
      </c>
      <c r="I6" s="1">
        <v>35</v>
      </c>
      <c r="J6" s="213">
        <v>37</v>
      </c>
      <c r="K6" s="229">
        <v>15</v>
      </c>
      <c r="L6" s="1">
        <v>15</v>
      </c>
      <c r="M6" s="1">
        <v>15</v>
      </c>
      <c r="N6" s="1">
        <v>42</v>
      </c>
    </row>
    <row r="7" spans="1:14" x14ac:dyDescent="0.25">
      <c r="A7" s="81" t="s">
        <v>183</v>
      </c>
      <c r="B7" s="6"/>
      <c r="C7" s="180">
        <v>25</v>
      </c>
      <c r="D7" s="182">
        <v>18</v>
      </c>
      <c r="E7" s="1">
        <v>20</v>
      </c>
      <c r="F7" s="1">
        <v>16</v>
      </c>
      <c r="G7" s="1">
        <v>28</v>
      </c>
      <c r="H7" s="1">
        <v>18</v>
      </c>
      <c r="I7" s="1">
        <v>28</v>
      </c>
      <c r="J7" s="213">
        <v>26</v>
      </c>
      <c r="K7" s="229">
        <v>10</v>
      </c>
      <c r="L7" s="1">
        <v>12</v>
      </c>
      <c r="M7" s="1">
        <v>12</v>
      </c>
      <c r="N7" s="1">
        <v>40</v>
      </c>
    </row>
    <row r="8" spans="1:14" ht="6.75" customHeight="1" x14ac:dyDescent="0.25">
      <c r="A8" s="81"/>
      <c r="B8" s="6"/>
      <c r="C8" s="180"/>
      <c r="D8" s="1"/>
      <c r="E8" s="1"/>
      <c r="F8" s="1"/>
      <c r="G8" s="1"/>
      <c r="H8" s="1"/>
      <c r="I8" s="1"/>
      <c r="J8" s="213"/>
      <c r="K8" s="229"/>
      <c r="L8" s="1"/>
      <c r="M8" s="1"/>
      <c r="N8" s="1"/>
    </row>
    <row r="9" spans="1:14" x14ac:dyDescent="0.25">
      <c r="A9" s="81" t="s">
        <v>18</v>
      </c>
      <c r="B9" s="6"/>
      <c r="C9" s="180">
        <v>12</v>
      </c>
      <c r="D9" s="1">
        <v>31</v>
      </c>
      <c r="E9" s="1">
        <v>31</v>
      </c>
      <c r="F9" s="1">
        <v>51</v>
      </c>
      <c r="G9" s="1">
        <v>51</v>
      </c>
      <c r="H9" s="1">
        <v>101</v>
      </c>
      <c r="I9" s="1">
        <v>101</v>
      </c>
      <c r="J9" s="213">
        <v>151</v>
      </c>
      <c r="K9" s="229">
        <v>25</v>
      </c>
      <c r="L9" s="1">
        <v>101</v>
      </c>
      <c r="M9" s="1">
        <v>101</v>
      </c>
      <c r="N9" s="1">
        <v>250</v>
      </c>
    </row>
    <row r="10" spans="1:14" x14ac:dyDescent="0.25">
      <c r="A10" s="82" t="s">
        <v>19</v>
      </c>
      <c r="B10" s="7"/>
      <c r="C10" s="180">
        <v>30</v>
      </c>
      <c r="D10" s="1">
        <v>50</v>
      </c>
      <c r="E10" s="1">
        <v>50</v>
      </c>
      <c r="F10" s="1">
        <v>100</v>
      </c>
      <c r="G10" s="1">
        <v>100</v>
      </c>
      <c r="H10" s="1">
        <v>150</v>
      </c>
      <c r="I10" s="1">
        <v>150</v>
      </c>
      <c r="J10" s="213">
        <v>300</v>
      </c>
      <c r="K10" s="229">
        <v>100</v>
      </c>
      <c r="L10" s="1">
        <v>500</v>
      </c>
      <c r="M10" s="1">
        <v>500</v>
      </c>
      <c r="N10" s="1">
        <v>500</v>
      </c>
    </row>
    <row r="11" spans="1:14" x14ac:dyDescent="0.25">
      <c r="A11" s="82" t="s">
        <v>20</v>
      </c>
      <c r="B11" s="7"/>
      <c r="C11" s="181">
        <v>115</v>
      </c>
      <c r="D11" s="183">
        <v>180</v>
      </c>
      <c r="E11" s="3">
        <v>240</v>
      </c>
      <c r="F11" s="3">
        <v>230</v>
      </c>
      <c r="G11" s="3">
        <v>525</v>
      </c>
      <c r="H11" s="3">
        <v>225</v>
      </c>
      <c r="I11" s="1">
        <v>900</v>
      </c>
      <c r="J11" s="214">
        <v>400</v>
      </c>
      <c r="K11" s="230">
        <v>100</v>
      </c>
      <c r="L11" s="3">
        <v>500</v>
      </c>
      <c r="M11" s="3">
        <v>285</v>
      </c>
      <c r="N11" s="3">
        <v>19300</v>
      </c>
    </row>
    <row r="12" spans="1:14" x14ac:dyDescent="0.25">
      <c r="A12" s="82" t="s">
        <v>21</v>
      </c>
      <c r="B12" s="7"/>
      <c r="C12" s="180">
        <v>375</v>
      </c>
      <c r="D12" s="182">
        <v>700</v>
      </c>
      <c r="E12" s="1">
        <v>1000</v>
      </c>
      <c r="F12" s="1">
        <v>900</v>
      </c>
      <c r="G12" s="1">
        <v>2100</v>
      </c>
      <c r="H12" s="1">
        <v>1800</v>
      </c>
      <c r="I12" s="1">
        <v>4000</v>
      </c>
      <c r="J12" s="213">
        <v>7200</v>
      </c>
      <c r="K12" s="229">
        <v>1000</v>
      </c>
      <c r="L12" s="1">
        <v>3000</v>
      </c>
      <c r="M12" s="1">
        <v>4500</v>
      </c>
      <c r="N12" s="1">
        <v>22600</v>
      </c>
    </row>
    <row r="13" spans="1:14" ht="7.5" customHeight="1" x14ac:dyDescent="0.25">
      <c r="A13" s="82"/>
      <c r="B13" s="7"/>
      <c r="C13" s="1"/>
      <c r="D13" s="1"/>
      <c r="E13" s="1"/>
      <c r="F13" s="1"/>
      <c r="G13" s="1"/>
      <c r="H13" s="1"/>
      <c r="I13" s="1"/>
      <c r="J13" s="213"/>
      <c r="K13" s="229"/>
      <c r="L13" s="1"/>
      <c r="M13" s="1"/>
      <c r="N13" s="1"/>
    </row>
    <row r="14" spans="1:14" ht="22.5" customHeight="1" x14ac:dyDescent="0.25">
      <c r="A14" s="82" t="s">
        <v>181</v>
      </c>
      <c r="B14" s="7"/>
      <c r="C14" s="125">
        <f t="shared" ref="C14:M14" si="0">0.22*AVERAGE(C16:C17)</f>
        <v>2.6518800000000002</v>
      </c>
      <c r="D14" s="125">
        <f t="shared" si="0"/>
        <v>4.7625599999999997</v>
      </c>
      <c r="E14" s="125">
        <f t="shared" si="0"/>
        <v>6.7108800000000004</v>
      </c>
      <c r="F14" s="125">
        <f t="shared" si="0"/>
        <v>6.1155600000000003</v>
      </c>
      <c r="G14" s="125">
        <f t="shared" si="0"/>
        <v>14.2065</v>
      </c>
      <c r="H14" s="125">
        <f t="shared" si="0"/>
        <v>10.959299999999999</v>
      </c>
      <c r="I14" s="125">
        <f t="shared" si="0"/>
        <v>26.518800000000002</v>
      </c>
      <c r="J14" s="215">
        <f t="shared" si="0"/>
        <v>41.1312</v>
      </c>
      <c r="K14" s="231">
        <f t="shared" si="0"/>
        <v>5.9532000000000007</v>
      </c>
      <c r="L14" s="125">
        <f t="shared" si="0"/>
        <v>18.942</v>
      </c>
      <c r="M14" s="125">
        <f t="shared" si="0"/>
        <v>25.896419999999999</v>
      </c>
      <c r="N14" s="125">
        <f t="shared" ref="N14" si="1">0.22*AVERAGE(N16:N17)</f>
        <v>226.7628</v>
      </c>
    </row>
    <row r="15" spans="1:14" ht="24.75" customHeight="1" x14ac:dyDescent="0.25">
      <c r="A15" s="82" t="s">
        <v>179</v>
      </c>
      <c r="B15" s="7"/>
      <c r="C15" s="125">
        <f>0.0492*(POWER(5/('User Inputs'!$E2*'Vessel Data'!C6),2)*0.8*AVERAGE('Vessel Data'!C11:C12))+C14</f>
        <v>3.0704216666666668</v>
      </c>
      <c r="D15" s="125">
        <f>0.0492*(POWER(5/('User Inputs'!$E2*'Vessel Data'!D6),2)*0.8*AVERAGE('Vessel Data'!D11:D12))+D14</f>
        <v>5.9370391666666658</v>
      </c>
      <c r="E15" s="125">
        <f>0.0492*(POWER(5/('User Inputs'!$E2*'Vessel Data'!E6),2)*0.8*AVERAGE('Vessel Data'!E11:E12))+E14</f>
        <v>7.7700466666666674</v>
      </c>
      <c r="F15" s="125">
        <f>0.0492*(POWER(5/('User Inputs'!$E2*'Vessel Data'!F6),2)*0.8*AVERAGE('Vessel Data'!F11:F12))+F14</f>
        <v>7.9103688842975206</v>
      </c>
      <c r="G15" s="125">
        <f>0.0492*(POWER(5/('User Inputs'!$E2*'Vessel Data'!G6),2)*0.8*AVERAGE('Vessel Data'!G11:G12))+G14</f>
        <v>15.603985283933518</v>
      </c>
      <c r="H15" s="125">
        <f>0.0492*(POWER(5/('User Inputs'!$E2*'Vessel Data'!H6),2)*0.8*AVERAGE('Vessel Data'!H11:H12))+H14</f>
        <v>14.851096875</v>
      </c>
      <c r="I15" s="125">
        <f>0.0492*(POWER(5/('User Inputs'!$E2*'Vessel Data'!I6),2)*0.8*AVERAGE('Vessel Data'!I11:I12))+I14</f>
        <v>29.593800000000002</v>
      </c>
      <c r="J15" s="215">
        <f>0.0492*(POWER(5/('User Inputs'!$E2*'Vessel Data'!J6),2)*0.8*AVERAGE('Vessel Data'!J11:J12))+J14</f>
        <v>45.398913659605554</v>
      </c>
      <c r="K15" s="231">
        <f>0.0492*(POWER(5/('User Inputs'!$E2*'Vessel Data'!K6),2)*0.8*AVERAGE('Vessel Data'!K11:K12))+K14</f>
        <v>9.7115333333333353</v>
      </c>
      <c r="L15" s="125">
        <f>0.0492*(POWER(5/('User Inputs'!$E2*'Vessel Data'!L6),2)*0.8*AVERAGE('Vessel Data'!L11:L12))+L14</f>
        <v>30.900333333333336</v>
      </c>
      <c r="M15" s="125">
        <f>0.0492*(POWER(5/('User Inputs'!$E2*'Vessel Data'!M6),2)*0.8*AVERAGE('Vessel Data'!M11:M12))+M14</f>
        <v>42.245170000000002</v>
      </c>
      <c r="N15" s="125">
        <f>0.0492*(POWER(5/('User Inputs'!$E2*'Vessel Data'!N6),2)*0.8*AVERAGE('Vessel Data'!N11:N12))+N14</f>
        <v>245.02279149659864</v>
      </c>
    </row>
    <row r="16" spans="1:14" ht="24.75" customHeight="1" x14ac:dyDescent="0.25">
      <c r="A16" s="82" t="s">
        <v>190</v>
      </c>
      <c r="B16" s="7" t="s">
        <v>56</v>
      </c>
      <c r="C16" s="125">
        <f t="shared" ref="C16:M16" si="2">(0.0492*C11)</f>
        <v>5.6580000000000004</v>
      </c>
      <c r="D16" s="125">
        <f t="shared" si="2"/>
        <v>8.8559999999999999</v>
      </c>
      <c r="E16" s="125">
        <f t="shared" si="2"/>
        <v>11.808</v>
      </c>
      <c r="F16" s="125">
        <f t="shared" si="2"/>
        <v>11.316000000000001</v>
      </c>
      <c r="G16" s="125">
        <f t="shared" si="2"/>
        <v>25.830000000000002</v>
      </c>
      <c r="H16" s="125">
        <f t="shared" si="2"/>
        <v>11.07</v>
      </c>
      <c r="I16" s="125">
        <f t="shared" si="2"/>
        <v>44.28</v>
      </c>
      <c r="J16" s="215">
        <f t="shared" si="2"/>
        <v>19.68</v>
      </c>
      <c r="K16" s="231">
        <f t="shared" si="2"/>
        <v>4.92</v>
      </c>
      <c r="L16" s="125">
        <f t="shared" si="2"/>
        <v>24.6</v>
      </c>
      <c r="M16" s="125">
        <f t="shared" si="2"/>
        <v>14.022</v>
      </c>
      <c r="N16" s="125">
        <f t="shared" ref="N16" si="3">(0.0492*N11)</f>
        <v>949.56000000000006</v>
      </c>
    </row>
    <row r="17" spans="1:14" ht="24.75" customHeight="1" x14ac:dyDescent="0.25">
      <c r="A17" s="82" t="s">
        <v>190</v>
      </c>
      <c r="B17" s="7" t="s">
        <v>57</v>
      </c>
      <c r="C17" s="125">
        <f t="shared" ref="C17:M17" si="4">0.0492*C12</f>
        <v>18.45</v>
      </c>
      <c r="D17" s="125">
        <f t="shared" si="4"/>
        <v>34.44</v>
      </c>
      <c r="E17" s="125">
        <f t="shared" si="4"/>
        <v>49.2</v>
      </c>
      <c r="F17" s="125">
        <f t="shared" si="4"/>
        <v>44.28</v>
      </c>
      <c r="G17" s="125">
        <f t="shared" si="4"/>
        <v>103.32000000000001</v>
      </c>
      <c r="H17" s="125">
        <f t="shared" si="4"/>
        <v>88.56</v>
      </c>
      <c r="I17" s="125">
        <f t="shared" si="4"/>
        <v>196.8</v>
      </c>
      <c r="J17" s="215">
        <f t="shared" si="4"/>
        <v>354.24</v>
      </c>
      <c r="K17" s="231">
        <f t="shared" si="4"/>
        <v>49.2</v>
      </c>
      <c r="L17" s="125">
        <f t="shared" si="4"/>
        <v>147.6</v>
      </c>
      <c r="M17" s="125">
        <f t="shared" si="4"/>
        <v>221.4</v>
      </c>
      <c r="N17" s="125">
        <f t="shared" ref="N17" si="5">0.0492*N12</f>
        <v>1111.92</v>
      </c>
    </row>
    <row r="18" spans="1:14" ht="6" customHeight="1" x14ac:dyDescent="0.25">
      <c r="A18" s="83"/>
      <c r="B18" s="1"/>
      <c r="C18" s="1"/>
      <c r="D18" s="1"/>
      <c r="E18" s="1"/>
      <c r="F18" s="1"/>
      <c r="G18" s="1"/>
      <c r="H18" s="1"/>
      <c r="I18" s="1"/>
      <c r="J18" s="213"/>
      <c r="K18" s="229"/>
      <c r="L18" s="1"/>
      <c r="M18" s="1"/>
      <c r="N18" s="1"/>
    </row>
    <row r="19" spans="1:14" x14ac:dyDescent="0.25">
      <c r="A19" s="81" t="s">
        <v>9</v>
      </c>
      <c r="B19" s="6"/>
      <c r="C19" s="1">
        <v>1</v>
      </c>
      <c r="D19" s="182">
        <v>2</v>
      </c>
      <c r="E19" s="1">
        <v>2</v>
      </c>
      <c r="F19" s="1">
        <v>2</v>
      </c>
      <c r="G19" s="1">
        <v>2</v>
      </c>
      <c r="H19" s="1">
        <v>2</v>
      </c>
      <c r="I19" s="1">
        <v>2</v>
      </c>
      <c r="J19" s="213">
        <v>4</v>
      </c>
      <c r="K19" s="229">
        <v>3</v>
      </c>
      <c r="L19" s="1">
        <v>5</v>
      </c>
      <c r="M19" s="1">
        <v>6</v>
      </c>
      <c r="N19" s="1">
        <v>8</v>
      </c>
    </row>
    <row r="20" spans="1:14" ht="24.75" x14ac:dyDescent="0.25">
      <c r="A20" s="82" t="s">
        <v>30</v>
      </c>
      <c r="B20" s="7"/>
      <c r="C20" s="126">
        <v>1</v>
      </c>
      <c r="D20" s="126">
        <v>1</v>
      </c>
      <c r="E20" s="126">
        <v>1</v>
      </c>
      <c r="F20" s="126">
        <v>1</v>
      </c>
      <c r="G20" s="126">
        <v>1</v>
      </c>
      <c r="H20" s="126">
        <v>1</v>
      </c>
      <c r="I20" s="126">
        <v>1</v>
      </c>
      <c r="J20" s="216">
        <v>1</v>
      </c>
      <c r="K20" s="232">
        <v>1</v>
      </c>
      <c r="L20" s="126">
        <v>1</v>
      </c>
      <c r="M20" s="126">
        <v>1</v>
      </c>
      <c r="N20" s="126">
        <v>1</v>
      </c>
    </row>
    <row r="21" spans="1:14" ht="24.75" x14ac:dyDescent="0.25">
      <c r="A21" s="82" t="s">
        <v>31</v>
      </c>
      <c r="B21" s="7"/>
      <c r="C21" s="126">
        <f>+C19-C20</f>
        <v>0</v>
      </c>
      <c r="D21" s="126">
        <f t="shared" ref="D21:M21" si="6">+D19-D20</f>
        <v>1</v>
      </c>
      <c r="E21" s="126">
        <f t="shared" si="6"/>
        <v>1</v>
      </c>
      <c r="F21" s="126">
        <f t="shared" si="6"/>
        <v>1</v>
      </c>
      <c r="G21" s="126">
        <f t="shared" si="6"/>
        <v>1</v>
      </c>
      <c r="H21" s="126">
        <f t="shared" si="6"/>
        <v>1</v>
      </c>
      <c r="I21" s="126">
        <f t="shared" si="6"/>
        <v>1</v>
      </c>
      <c r="J21" s="216">
        <f t="shared" si="6"/>
        <v>3</v>
      </c>
      <c r="K21" s="232">
        <f t="shared" si="6"/>
        <v>2</v>
      </c>
      <c r="L21" s="126">
        <f t="shared" si="6"/>
        <v>4</v>
      </c>
      <c r="M21" s="126">
        <f t="shared" si="6"/>
        <v>5</v>
      </c>
      <c r="N21" s="126">
        <f t="shared" ref="N21" si="7">+N19-N20</f>
        <v>7</v>
      </c>
    </row>
    <row r="22" spans="1:14" s="60" customFormat="1" x14ac:dyDescent="0.25">
      <c r="A22" s="421" t="s">
        <v>62</v>
      </c>
      <c r="B22" s="421"/>
      <c r="C22" s="59"/>
      <c r="D22" s="59"/>
      <c r="E22" s="59"/>
      <c r="F22" s="59"/>
      <c r="G22" s="59"/>
      <c r="H22" s="59"/>
      <c r="I22" s="59"/>
      <c r="J22" s="217"/>
      <c r="K22" s="233"/>
      <c r="L22" s="59"/>
      <c r="M22" s="59"/>
      <c r="N22" s="59"/>
    </row>
    <row r="23" spans="1:14" x14ac:dyDescent="0.25">
      <c r="A23" s="81" t="s">
        <v>14</v>
      </c>
      <c r="B23" s="84"/>
      <c r="C23" s="118">
        <v>90000</v>
      </c>
      <c r="D23" s="138">
        <v>200000</v>
      </c>
      <c r="E23" s="118">
        <v>180000</v>
      </c>
      <c r="F23" s="138">
        <v>225000</v>
      </c>
      <c r="G23" s="50">
        <v>450000</v>
      </c>
      <c r="H23" s="50">
        <v>400000</v>
      </c>
      <c r="I23" s="50">
        <v>700000</v>
      </c>
      <c r="J23" s="218">
        <v>820000</v>
      </c>
      <c r="K23" s="234">
        <v>1000000</v>
      </c>
      <c r="L23" s="50">
        <v>3300000</v>
      </c>
      <c r="M23" s="50">
        <v>7000000</v>
      </c>
      <c r="N23" s="50">
        <v>25000000</v>
      </c>
    </row>
    <row r="24" spans="1:14" x14ac:dyDescent="0.25">
      <c r="A24" s="81" t="s">
        <v>15</v>
      </c>
      <c r="B24" s="84"/>
      <c r="C24" s="118">
        <v>300000</v>
      </c>
      <c r="D24" s="138">
        <v>600000</v>
      </c>
      <c r="E24" s="50">
        <v>990000</v>
      </c>
      <c r="F24" s="138">
        <v>1000000</v>
      </c>
      <c r="G24" s="50">
        <v>3000000</v>
      </c>
      <c r="H24" s="50">
        <v>1800000</v>
      </c>
      <c r="I24" s="50">
        <v>8000000</v>
      </c>
      <c r="J24" s="218">
        <v>11400000</v>
      </c>
      <c r="K24" s="234">
        <v>5000000</v>
      </c>
      <c r="L24" s="50">
        <v>7500000</v>
      </c>
      <c r="M24" s="50">
        <v>18000000</v>
      </c>
      <c r="N24" s="50">
        <v>43000000</v>
      </c>
    </row>
    <row r="25" spans="1:14" x14ac:dyDescent="0.25">
      <c r="A25" s="81"/>
      <c r="B25" s="84"/>
      <c r="C25" s="118">
        <f>AVERAGE(C23:C24)</f>
        <v>195000</v>
      </c>
      <c r="D25" s="118">
        <f t="shared" ref="D25:M25" si="8">AVERAGE(D23:D24)</f>
        <v>400000</v>
      </c>
      <c r="E25" s="118">
        <f t="shared" si="8"/>
        <v>585000</v>
      </c>
      <c r="F25" s="118">
        <f t="shared" si="8"/>
        <v>612500</v>
      </c>
      <c r="G25" s="118">
        <f t="shared" si="8"/>
        <v>1725000</v>
      </c>
      <c r="H25" s="118">
        <f t="shared" si="8"/>
        <v>1100000</v>
      </c>
      <c r="I25" s="118">
        <f t="shared" si="8"/>
        <v>4350000</v>
      </c>
      <c r="J25" s="219">
        <f t="shared" si="8"/>
        <v>6110000</v>
      </c>
      <c r="K25" s="235">
        <f t="shared" si="8"/>
        <v>3000000</v>
      </c>
      <c r="L25" s="118">
        <f t="shared" si="8"/>
        <v>5400000</v>
      </c>
      <c r="M25" s="118">
        <f t="shared" si="8"/>
        <v>12500000</v>
      </c>
      <c r="N25" s="118">
        <f t="shared" ref="N25" si="9">AVERAGE(N23:N24)</f>
        <v>34000000</v>
      </c>
    </row>
    <row r="26" spans="1:14" s="60" customFormat="1" x14ac:dyDescent="0.25">
      <c r="A26" s="421" t="s">
        <v>68</v>
      </c>
      <c r="B26" s="421"/>
      <c r="C26" s="59"/>
      <c r="D26" s="59"/>
      <c r="E26" s="59"/>
      <c r="F26" s="59"/>
      <c r="G26" s="59"/>
      <c r="H26" s="59"/>
      <c r="I26" s="59"/>
      <c r="J26" s="217"/>
      <c r="K26" s="233"/>
      <c r="L26" s="59"/>
      <c r="M26" s="59"/>
      <c r="N26" s="59"/>
    </row>
    <row r="27" spans="1:14" ht="24.75" x14ac:dyDescent="0.25">
      <c r="A27" s="82" t="s">
        <v>3</v>
      </c>
      <c r="B27" s="7" t="s">
        <v>56</v>
      </c>
      <c r="C27" s="127">
        <f t="shared" ref="C27:M27" si="10">0.021*C23</f>
        <v>1890.0000000000002</v>
      </c>
      <c r="D27" s="127">
        <f t="shared" si="10"/>
        <v>4200</v>
      </c>
      <c r="E27" s="127">
        <f t="shared" si="10"/>
        <v>3780.0000000000005</v>
      </c>
      <c r="F27" s="127">
        <f t="shared" si="10"/>
        <v>4725</v>
      </c>
      <c r="G27" s="127">
        <f t="shared" si="10"/>
        <v>9450</v>
      </c>
      <c r="H27" s="127">
        <f t="shared" si="10"/>
        <v>8400</v>
      </c>
      <c r="I27" s="127">
        <f t="shared" si="10"/>
        <v>14700.000000000002</v>
      </c>
      <c r="J27" s="220">
        <f t="shared" si="10"/>
        <v>17220</v>
      </c>
      <c r="K27" s="236">
        <f t="shared" si="10"/>
        <v>21000</v>
      </c>
      <c r="L27" s="127">
        <f t="shared" si="10"/>
        <v>69300</v>
      </c>
      <c r="M27" s="127">
        <f t="shared" si="10"/>
        <v>147000</v>
      </c>
      <c r="N27" s="127">
        <f t="shared" ref="N27" si="11">0.021*N23</f>
        <v>525000</v>
      </c>
    </row>
    <row r="28" spans="1:14" ht="24.75" x14ac:dyDescent="0.25">
      <c r="A28" s="82" t="s">
        <v>3</v>
      </c>
      <c r="B28" s="7" t="s">
        <v>57</v>
      </c>
      <c r="C28" s="127">
        <f t="shared" ref="C28:M28" si="12">0.021*C24</f>
        <v>6300</v>
      </c>
      <c r="D28" s="127">
        <f t="shared" si="12"/>
        <v>12600</v>
      </c>
      <c r="E28" s="127">
        <f t="shared" si="12"/>
        <v>20790</v>
      </c>
      <c r="F28" s="127">
        <f t="shared" si="12"/>
        <v>21000</v>
      </c>
      <c r="G28" s="127">
        <f t="shared" si="12"/>
        <v>63000.000000000007</v>
      </c>
      <c r="H28" s="127">
        <f t="shared" si="12"/>
        <v>37800</v>
      </c>
      <c r="I28" s="127">
        <f t="shared" si="12"/>
        <v>168000</v>
      </c>
      <c r="J28" s="220">
        <f t="shared" si="12"/>
        <v>239400.00000000003</v>
      </c>
      <c r="K28" s="236">
        <f t="shared" si="12"/>
        <v>105000</v>
      </c>
      <c r="L28" s="127">
        <f t="shared" si="12"/>
        <v>157500</v>
      </c>
      <c r="M28" s="127">
        <f t="shared" si="12"/>
        <v>378000</v>
      </c>
      <c r="N28" s="127">
        <f t="shared" ref="N28" si="13">0.021*N24</f>
        <v>903000</v>
      </c>
    </row>
    <row r="29" spans="1:14" x14ac:dyDescent="0.25">
      <c r="A29" s="128"/>
      <c r="B29" s="129"/>
      <c r="C29" s="1"/>
      <c r="D29" s="1"/>
      <c r="E29" s="1"/>
      <c r="F29" s="1"/>
      <c r="G29" s="1"/>
      <c r="H29" s="1"/>
      <c r="I29" s="1"/>
      <c r="J29" s="213"/>
      <c r="K29" s="229"/>
      <c r="L29" s="1"/>
      <c r="M29" s="1"/>
      <c r="N29" s="1"/>
    </row>
    <row r="30" spans="1:14" ht="24.75" x14ac:dyDescent="0.25">
      <c r="A30" s="82" t="s">
        <v>67</v>
      </c>
      <c r="B30" s="7" t="s">
        <v>56</v>
      </c>
      <c r="C30" s="130">
        <f>0.02*C23</f>
        <v>1800</v>
      </c>
      <c r="D30" s="130">
        <f t="shared" ref="D30:M30" si="14">0.02*D23</f>
        <v>4000</v>
      </c>
      <c r="E30" s="130">
        <f t="shared" si="14"/>
        <v>3600</v>
      </c>
      <c r="F30" s="130">
        <f t="shared" si="14"/>
        <v>4500</v>
      </c>
      <c r="G30" s="130">
        <f t="shared" si="14"/>
        <v>9000</v>
      </c>
      <c r="H30" s="130">
        <f t="shared" si="14"/>
        <v>8000</v>
      </c>
      <c r="I30" s="130">
        <f t="shared" si="14"/>
        <v>14000</v>
      </c>
      <c r="J30" s="221">
        <f t="shared" si="14"/>
        <v>16400</v>
      </c>
      <c r="K30" s="237">
        <f t="shared" si="14"/>
        <v>20000</v>
      </c>
      <c r="L30" s="130">
        <f t="shared" si="14"/>
        <v>66000</v>
      </c>
      <c r="M30" s="130">
        <f t="shared" si="14"/>
        <v>140000</v>
      </c>
      <c r="N30" s="130">
        <f t="shared" ref="N30" si="15">0.02*N23</f>
        <v>500000</v>
      </c>
    </row>
    <row r="31" spans="1:14" ht="24.75" x14ac:dyDescent="0.25">
      <c r="A31" s="82" t="s">
        <v>67</v>
      </c>
      <c r="B31" s="7" t="s">
        <v>57</v>
      </c>
      <c r="C31" s="130">
        <f t="shared" ref="C31:M31" si="16">0.02*C24</f>
        <v>6000</v>
      </c>
      <c r="D31" s="130">
        <f t="shared" si="16"/>
        <v>12000</v>
      </c>
      <c r="E31" s="130">
        <f t="shared" si="16"/>
        <v>19800</v>
      </c>
      <c r="F31" s="130">
        <f t="shared" si="16"/>
        <v>20000</v>
      </c>
      <c r="G31" s="130">
        <f t="shared" si="16"/>
        <v>60000</v>
      </c>
      <c r="H31" s="130">
        <f t="shared" si="16"/>
        <v>36000</v>
      </c>
      <c r="I31" s="130">
        <f t="shared" si="16"/>
        <v>160000</v>
      </c>
      <c r="J31" s="221">
        <f t="shared" si="16"/>
        <v>228000</v>
      </c>
      <c r="K31" s="237">
        <f t="shared" si="16"/>
        <v>100000</v>
      </c>
      <c r="L31" s="130">
        <f t="shared" si="16"/>
        <v>150000</v>
      </c>
      <c r="M31" s="130">
        <f t="shared" si="16"/>
        <v>360000</v>
      </c>
      <c r="N31" s="130">
        <f t="shared" ref="N31" si="17">0.02*N24</f>
        <v>860000</v>
      </c>
    </row>
    <row r="32" spans="1:14" ht="6.75" customHeight="1" x14ac:dyDescent="0.25">
      <c r="A32" s="83"/>
      <c r="B32" s="1"/>
      <c r="C32" s="1"/>
      <c r="D32" s="1"/>
      <c r="E32" s="1"/>
      <c r="F32" s="1"/>
      <c r="G32" s="1"/>
      <c r="H32" s="1"/>
      <c r="I32" s="1"/>
      <c r="J32" s="213"/>
      <c r="K32" s="229"/>
      <c r="L32" s="1"/>
      <c r="M32" s="1"/>
      <c r="N32" s="1"/>
    </row>
    <row r="33" spans="1:14" ht="24.75" x14ac:dyDescent="0.25">
      <c r="A33" s="82" t="s">
        <v>116</v>
      </c>
      <c r="B33" s="7"/>
      <c r="C33" s="131">
        <f>'User Inputs'!$B$23*'User Inputs'!$E$15</f>
        <v>84240</v>
      </c>
      <c r="D33" s="131">
        <f>'User Inputs'!$B$23*'User Inputs'!$E$15</f>
        <v>84240</v>
      </c>
      <c r="E33" s="131">
        <f>'User Inputs'!$B$23*'User Inputs'!$E$15</f>
        <v>84240</v>
      </c>
      <c r="F33" s="131">
        <f>'User Inputs'!$B$23*'User Inputs'!$E$15</f>
        <v>84240</v>
      </c>
      <c r="G33" s="131">
        <f>'User Inputs'!$B$23*'User Inputs'!$E$15</f>
        <v>84240</v>
      </c>
      <c r="H33" s="131">
        <f>'User Inputs'!$B$23*'User Inputs'!$E$15</f>
        <v>84240</v>
      </c>
      <c r="I33" s="131">
        <f>'User Inputs'!$B$23*'User Inputs'!$E$15</f>
        <v>84240</v>
      </c>
      <c r="J33" s="222">
        <f>'User Inputs'!$B$23*'User Inputs'!$E$15</f>
        <v>84240</v>
      </c>
      <c r="K33" s="238">
        <f>'User Inputs'!$B$23*'User Inputs'!$E$15</f>
        <v>84240</v>
      </c>
      <c r="L33" s="131">
        <f>'User Inputs'!$B$23*'User Inputs'!$E$15</f>
        <v>84240</v>
      </c>
      <c r="M33" s="131">
        <f>'User Inputs'!$B$23*'User Inputs'!$E$15</f>
        <v>84240</v>
      </c>
      <c r="N33" s="131">
        <f>'User Inputs'!$B$23*'User Inputs'!$E$15</f>
        <v>84240</v>
      </c>
    </row>
    <row r="34" spans="1:14" ht="7.5" customHeight="1" x14ac:dyDescent="0.25">
      <c r="A34" s="82"/>
      <c r="B34" s="7"/>
      <c r="C34" s="130"/>
      <c r="D34" s="130"/>
      <c r="E34" s="130"/>
      <c r="F34" s="130"/>
      <c r="G34" s="130"/>
      <c r="H34" s="130"/>
      <c r="I34" s="130"/>
      <c r="J34" s="221"/>
      <c r="K34" s="237"/>
      <c r="L34" s="130"/>
      <c r="M34" s="130"/>
      <c r="N34" s="130"/>
    </row>
    <row r="35" spans="1:14" s="60" customFormat="1" x14ac:dyDescent="0.25">
      <c r="A35" s="421" t="s">
        <v>63</v>
      </c>
      <c r="B35" s="421"/>
      <c r="C35" s="421"/>
      <c r="D35" s="59"/>
      <c r="E35" s="59"/>
      <c r="F35" s="59"/>
      <c r="G35" s="59"/>
      <c r="H35" s="59"/>
      <c r="I35" s="59"/>
      <c r="J35" s="217"/>
      <c r="K35" s="233"/>
      <c r="L35" s="59"/>
      <c r="M35" s="59"/>
      <c r="N35" s="59"/>
    </row>
    <row r="36" spans="1:14" ht="24.75" x14ac:dyDescent="0.25">
      <c r="A36" s="82" t="s">
        <v>58</v>
      </c>
      <c r="B36" s="1"/>
      <c r="C36" s="132">
        <f>C20*'User Inputs'!$E6+'User Inputs'!$E7*'Vessel Data'!C21</f>
        <v>21.23</v>
      </c>
      <c r="D36" s="132">
        <f>D20*'User Inputs'!$E6+'User Inputs'!$E7*'Vessel Data'!D21</f>
        <v>34.120000000000005</v>
      </c>
      <c r="E36" s="132">
        <f>E20*'User Inputs'!$E6+'User Inputs'!$E7*'Vessel Data'!E21</f>
        <v>34.120000000000005</v>
      </c>
      <c r="F36" s="132">
        <f>F20*'User Inputs'!$E6+'User Inputs'!$E7*'Vessel Data'!F21</f>
        <v>34.120000000000005</v>
      </c>
      <c r="G36" s="132">
        <f>G20*'User Inputs'!$E6+'User Inputs'!$E7*'Vessel Data'!G21</f>
        <v>34.120000000000005</v>
      </c>
      <c r="H36" s="132">
        <f>H20*'User Inputs'!$E6+'User Inputs'!$E7*'Vessel Data'!H21</f>
        <v>34.120000000000005</v>
      </c>
      <c r="I36" s="132">
        <f>I20*'User Inputs'!$E6+'User Inputs'!$E7*'Vessel Data'!I21</f>
        <v>34.120000000000005</v>
      </c>
      <c r="J36" s="223">
        <f>J20*'User Inputs'!$E6+'User Inputs'!$E7*'Vessel Data'!J21</f>
        <v>59.900000000000006</v>
      </c>
      <c r="K36" s="239">
        <f>K20*'User Inputs'!$E6+'User Inputs'!$E7*'Vessel Data'!K21</f>
        <v>47.010000000000005</v>
      </c>
      <c r="L36" s="132">
        <f>L20*'User Inputs'!$E6+'User Inputs'!$E7*'Vessel Data'!L21</f>
        <v>72.790000000000006</v>
      </c>
      <c r="M36" s="132">
        <f>M20*'User Inputs'!$E6+'User Inputs'!$E7*'Vessel Data'!M21</f>
        <v>85.68</v>
      </c>
      <c r="N36" s="132">
        <f>N20*'User Inputs'!$E6+'User Inputs'!$E7*'Vessel Data'!N21</f>
        <v>111.46000000000001</v>
      </c>
    </row>
    <row r="37" spans="1:14" ht="24.75" x14ac:dyDescent="0.25">
      <c r="A37" s="82" t="s">
        <v>59</v>
      </c>
      <c r="B37" s="7"/>
      <c r="C37" s="131">
        <f>+C36*(1+'User Inputs'!$E4)</f>
        <v>24.4145</v>
      </c>
      <c r="D37" s="131">
        <f>+D36*(1+'User Inputs'!$E4)</f>
        <v>39.238</v>
      </c>
      <c r="E37" s="131">
        <f>+E36*(1+'User Inputs'!$E4)</f>
        <v>39.238</v>
      </c>
      <c r="F37" s="131">
        <f>+F36*(1+'User Inputs'!$E4)</f>
        <v>39.238</v>
      </c>
      <c r="G37" s="131">
        <f>+G36*(1+'User Inputs'!$E4)</f>
        <v>39.238</v>
      </c>
      <c r="H37" s="131">
        <f>+H36*(1+'User Inputs'!$E4)</f>
        <v>39.238</v>
      </c>
      <c r="I37" s="131">
        <f>+I36*(1+'User Inputs'!$E4)</f>
        <v>39.238</v>
      </c>
      <c r="J37" s="222">
        <f>+J36*(1+'User Inputs'!$E4)</f>
        <v>68.885000000000005</v>
      </c>
      <c r="K37" s="238">
        <f>+K36*(1+'User Inputs'!$E4)</f>
        <v>54.061500000000002</v>
      </c>
      <c r="L37" s="131">
        <f>+L36*(1+'User Inputs'!$E4)</f>
        <v>83.708500000000001</v>
      </c>
      <c r="M37" s="131">
        <f>+M36*(1+'User Inputs'!$E4)</f>
        <v>98.531999999999996</v>
      </c>
      <c r="N37" s="131">
        <f>+N36*(1+'User Inputs'!$E4)</f>
        <v>128.179</v>
      </c>
    </row>
    <row r="38" spans="1:14" ht="7.5" customHeight="1" x14ac:dyDescent="0.25">
      <c r="A38" s="83"/>
      <c r="B38" s="1"/>
      <c r="C38" s="1"/>
      <c r="D38" s="1"/>
      <c r="E38" s="1"/>
      <c r="F38" s="1"/>
      <c r="G38" s="1"/>
      <c r="H38" s="1"/>
      <c r="I38" s="1"/>
      <c r="J38" s="213"/>
      <c r="K38" s="229"/>
      <c r="L38" s="1"/>
      <c r="M38" s="1"/>
      <c r="N38" s="1"/>
    </row>
    <row r="39" spans="1:14" ht="36.75" x14ac:dyDescent="0.25">
      <c r="A39" s="82" t="s">
        <v>60</v>
      </c>
      <c r="B39" s="7" t="s">
        <v>56</v>
      </c>
      <c r="C39" s="132">
        <f>(60/C49)*C52*('User Inputs'!$E$8+0.004*'User Inputs'!$E$10)</f>
        <v>15.378939628500001</v>
      </c>
      <c r="D39" s="132">
        <f>(60/D49)*D52*('User Inputs'!$E$8+0.004*'User Inputs'!$E$10)</f>
        <v>25.088566731023619</v>
      </c>
      <c r="E39" s="132">
        <f>(60/E49)*E52*('User Inputs'!$E$8+0.004*'User Inputs'!$E$10)</f>
        <v>28.827670878072286</v>
      </c>
      <c r="F39" s="132">
        <f>(60/F49)*F52*('User Inputs'!$E$8+0.004*'User Inputs'!$E$10)</f>
        <v>31.843253706314815</v>
      </c>
      <c r="G39" s="132">
        <f>(60/G49)*G52*('User Inputs'!$E$8+0.004*'User Inputs'!$E$10)</f>
        <v>51.902171965105211</v>
      </c>
      <c r="H39" s="132">
        <f>(60/H49)*H52*('User Inputs'!$E$8+0.004*'User Inputs'!$E$10)</f>
        <v>44.523560483858262</v>
      </c>
      <c r="I39" s="132">
        <f>(60/I49)*I52*('User Inputs'!$E$8+0.004*'User Inputs'!$E$10)</f>
        <v>97.871019458439207</v>
      </c>
      <c r="J39" s="223">
        <f>(60/J49)*J52*('User Inputs'!$E$8+0.004*'User Inputs'!$E$10)</f>
        <v>140.20889338158312</v>
      </c>
      <c r="K39" s="239">
        <f>(60/K49)*K52*('User Inputs'!$E$8+0.004*'User Inputs'!$E$10)</f>
        <v>26.78984982857143</v>
      </c>
      <c r="L39" s="132">
        <f>(60/L49)*L52*('User Inputs'!$E$8+0.004*'User Inputs'!$E$10)</f>
        <v>85.998827870967759</v>
      </c>
      <c r="M39" s="132">
        <f>(60/M49)*M52*('User Inputs'!$E$8+0.004*'User Inputs'!$E$10)</f>
        <v>96.613483246451636</v>
      </c>
      <c r="N39" s="132">
        <f>(60/N49)*N52*('User Inputs'!$E$8+0.004*'User Inputs'!$E$10)</f>
        <v>933.29241295736961</v>
      </c>
    </row>
    <row r="40" spans="1:14" ht="36.75" x14ac:dyDescent="0.25">
      <c r="A40" s="82" t="s">
        <v>60</v>
      </c>
      <c r="B40" s="7" t="s">
        <v>57</v>
      </c>
      <c r="C40" s="132">
        <f>(60/C49)*C53*('User Inputs'!$E$8+0.004*'User Inputs'!$E$10)</f>
        <v>14.347812485999999</v>
      </c>
      <c r="D40" s="132">
        <f>(60/D49)*D53*('User Inputs'!$E$8+0.004*'User Inputs'!$E$10)</f>
        <v>28.554261219212595</v>
      </c>
      <c r="E40" s="132">
        <f>(60/E49)*E53*('User Inputs'!$E$8+0.004*'User Inputs'!$E$10)</f>
        <v>35.89824437204819</v>
      </c>
      <c r="F40" s="132">
        <f>(60/F49)*F53*('User Inputs'!$E$8+0.004*'User Inputs'!$E$10)</f>
        <v>38.012407806393405</v>
      </c>
      <c r="G40" s="132">
        <f>(60/G49)*G53*('User Inputs'!$E$8+0.004*'User Inputs'!$E$10)</f>
        <v>70.039865868845865</v>
      </c>
      <c r="H40" s="132">
        <f>(60/H49)*H53*('User Inputs'!$E$8+0.004*'User Inputs'!$E$10)</f>
        <v>79.613717176771658</v>
      </c>
      <c r="I40" s="132">
        <f>(60/I49)*I53*('User Inputs'!$E$8+0.004*'User Inputs'!$E$10)</f>
        <v>137.8114187324864</v>
      </c>
      <c r="J40" s="223">
        <f>(60/J49)*J53*('User Inputs'!$E$8+0.004*'User Inputs'!$E$10)</f>
        <v>220.22342513964676</v>
      </c>
      <c r="K40" s="239">
        <f>(60/K49)*K53*('User Inputs'!$E$8+0.004*'User Inputs'!$E$10)</f>
        <v>47.74904982857143</v>
      </c>
      <c r="L40" s="132">
        <f>(60/L49)*L53*('User Inputs'!$E$8+0.004*'User Inputs'!$E$10)</f>
        <v>154.36037625806455</v>
      </c>
      <c r="M40" s="132">
        <f>(60/M49)*M53*('User Inputs'!$E$8+0.004*'User Inputs'!$E$10)</f>
        <v>223.60820582709684</v>
      </c>
      <c r="N40" s="132">
        <f>(60/N49)*N53*('User Inputs'!$E$8+0.004*'User Inputs'!$E$10)</f>
        <v>958.52137290900941</v>
      </c>
    </row>
    <row r="41" spans="1:14" ht="6.75" customHeight="1" x14ac:dyDescent="0.25">
      <c r="A41" s="82"/>
      <c r="B41" s="7"/>
      <c r="C41" s="1"/>
      <c r="D41" s="1"/>
      <c r="E41" s="1"/>
      <c r="F41" s="1"/>
      <c r="G41" s="1"/>
      <c r="H41" s="1"/>
      <c r="I41" s="1"/>
      <c r="J41" s="213"/>
      <c r="K41" s="229"/>
      <c r="L41" s="1"/>
      <c r="M41" s="1"/>
      <c r="N41" s="1"/>
    </row>
    <row r="42" spans="1:14" ht="24.75" x14ac:dyDescent="0.25">
      <c r="A42" s="82" t="s">
        <v>64</v>
      </c>
      <c r="B42" s="7"/>
      <c r="C42" s="133">
        <f>(0.014/1000)</f>
        <v>1.4E-5</v>
      </c>
      <c r="D42" s="133">
        <f t="shared" ref="D42:N42" si="18">(0.014/1000)</f>
        <v>1.4E-5</v>
      </c>
      <c r="E42" s="133">
        <f t="shared" si="18"/>
        <v>1.4E-5</v>
      </c>
      <c r="F42" s="133">
        <f t="shared" si="18"/>
        <v>1.4E-5</v>
      </c>
      <c r="G42" s="133">
        <f t="shared" si="18"/>
        <v>1.4E-5</v>
      </c>
      <c r="H42" s="133">
        <f t="shared" si="18"/>
        <v>1.4E-5</v>
      </c>
      <c r="I42" s="133">
        <f t="shared" si="18"/>
        <v>1.4E-5</v>
      </c>
      <c r="J42" s="224">
        <f t="shared" si="18"/>
        <v>1.4E-5</v>
      </c>
      <c r="K42" s="240">
        <f t="shared" si="18"/>
        <v>1.4E-5</v>
      </c>
      <c r="L42" s="133">
        <f t="shared" si="18"/>
        <v>1.4E-5</v>
      </c>
      <c r="M42" s="133">
        <f t="shared" si="18"/>
        <v>1.4E-5</v>
      </c>
      <c r="N42" s="133">
        <f t="shared" si="18"/>
        <v>1.4E-5</v>
      </c>
    </row>
    <row r="43" spans="1:14" ht="6.75" customHeight="1" x14ac:dyDescent="0.25">
      <c r="A43" s="82"/>
      <c r="B43" s="7"/>
      <c r="C43" s="134"/>
      <c r="D43" s="134"/>
      <c r="E43" s="134"/>
      <c r="F43" s="134"/>
      <c r="G43" s="134"/>
      <c r="H43" s="134"/>
      <c r="I43" s="134"/>
      <c r="J43" s="225"/>
      <c r="K43" s="241"/>
      <c r="L43" s="134"/>
      <c r="M43" s="134"/>
      <c r="N43" s="134"/>
    </row>
    <row r="44" spans="1:14" ht="24.75" x14ac:dyDescent="0.25">
      <c r="A44" s="82" t="s">
        <v>65</v>
      </c>
      <c r="B44" s="7"/>
      <c r="C44" s="134">
        <f>(0.2*'User Inputs'!$B$23)/1000</f>
        <v>28.08</v>
      </c>
      <c r="D44" s="134">
        <f>(0.2*'User Inputs'!$B$23)/'User Inputs'!$B24</f>
        <v>24.631578947368421</v>
      </c>
      <c r="E44" s="134">
        <f>(0.2*'User Inputs'!$B$23)/'User Inputs'!$B24</f>
        <v>24.631578947368421</v>
      </c>
      <c r="F44" s="134">
        <f>(0.2*'User Inputs'!$B$23)/'User Inputs'!$B24</f>
        <v>24.631578947368421</v>
      </c>
      <c r="G44" s="134">
        <f>(0.2*'User Inputs'!$B$23)/'User Inputs'!$B24</f>
        <v>24.631578947368421</v>
      </c>
      <c r="H44" s="134">
        <f>(0.2*'User Inputs'!$B$23)/'User Inputs'!$B24</f>
        <v>24.631578947368421</v>
      </c>
      <c r="I44" s="134">
        <f>(0.2*'User Inputs'!$B$23)/'User Inputs'!$B24</f>
        <v>24.631578947368421</v>
      </c>
      <c r="J44" s="225">
        <f>(0.2*'User Inputs'!$B$23)/'User Inputs'!$B24</f>
        <v>24.631578947368421</v>
      </c>
      <c r="K44" s="241">
        <f>(0.2*'User Inputs'!$B$23)/'User Inputs'!$B24</f>
        <v>24.631578947368421</v>
      </c>
      <c r="L44" s="134">
        <f>(0.2*'User Inputs'!$B$23)/'User Inputs'!$B24</f>
        <v>24.631578947368421</v>
      </c>
      <c r="M44" s="134">
        <f>(0.2*'User Inputs'!$B$23)/'User Inputs'!$B24</f>
        <v>24.631578947368421</v>
      </c>
      <c r="N44" s="134">
        <f>(0.2*'User Inputs'!$B$23)/'User Inputs'!$B24</f>
        <v>24.631578947368421</v>
      </c>
    </row>
    <row r="45" spans="1:14" ht="6" customHeight="1" x14ac:dyDescent="0.25">
      <c r="A45" s="128"/>
      <c r="B45" s="129"/>
      <c r="C45" s="1"/>
      <c r="D45" s="1"/>
      <c r="E45" s="1"/>
      <c r="F45" s="1"/>
      <c r="G45" s="1"/>
      <c r="H45" s="1"/>
      <c r="I45" s="1"/>
      <c r="J45" s="213"/>
      <c r="K45" s="229"/>
      <c r="L45" s="1"/>
      <c r="M45" s="1"/>
      <c r="N45" s="1"/>
    </row>
    <row r="46" spans="1:14" ht="36.75" x14ac:dyDescent="0.25">
      <c r="A46" s="135" t="s">
        <v>66</v>
      </c>
      <c r="B46" s="136" t="s">
        <v>56</v>
      </c>
      <c r="C46" s="137">
        <f>(C44+C42+C39+C37)</f>
        <v>67.873453628500002</v>
      </c>
      <c r="D46" s="137">
        <f t="shared" ref="D46:M46" si="19">(D44+D42+D39+D37)</f>
        <v>88.958159678392036</v>
      </c>
      <c r="E46" s="137">
        <f t="shared" si="19"/>
        <v>92.6972638254407</v>
      </c>
      <c r="F46" s="137">
        <f t="shared" si="19"/>
        <v>95.712846653683243</v>
      </c>
      <c r="G46" s="137">
        <f t="shared" si="19"/>
        <v>115.77176491247363</v>
      </c>
      <c r="H46" s="137">
        <f t="shared" si="19"/>
        <v>108.39315343122668</v>
      </c>
      <c r="I46" s="137">
        <f t="shared" si="19"/>
        <v>161.74061240580761</v>
      </c>
      <c r="J46" s="226">
        <f t="shared" si="19"/>
        <v>233.72548632895155</v>
      </c>
      <c r="K46" s="242">
        <f t="shared" si="19"/>
        <v>105.48294277593985</v>
      </c>
      <c r="L46" s="137">
        <f t="shared" si="19"/>
        <v>194.33892081833619</v>
      </c>
      <c r="M46" s="137">
        <f t="shared" si="19"/>
        <v>219.77707619382005</v>
      </c>
      <c r="N46" s="137">
        <f t="shared" ref="N46" si="20">(N44+N42+N39+N37)</f>
        <v>1086.103005904738</v>
      </c>
    </row>
    <row r="47" spans="1:14" ht="36.75" x14ac:dyDescent="0.25">
      <c r="A47" s="135" t="s">
        <v>66</v>
      </c>
      <c r="B47" s="136" t="s">
        <v>57</v>
      </c>
      <c r="C47" s="137">
        <f>C44+C42+C40+C37</f>
        <v>66.842326486000005</v>
      </c>
      <c r="D47" s="137">
        <f t="shared" ref="D47:M47" si="21">D44+D42+D40+D37</f>
        <v>92.423854166581009</v>
      </c>
      <c r="E47" s="137">
        <f t="shared" si="21"/>
        <v>99.767837319416614</v>
      </c>
      <c r="F47" s="137">
        <f t="shared" si="21"/>
        <v>101.88200075376183</v>
      </c>
      <c r="G47" s="137">
        <f t="shared" si="21"/>
        <v>133.90945881621428</v>
      </c>
      <c r="H47" s="137">
        <f t="shared" si="21"/>
        <v>143.48331012414008</v>
      </c>
      <c r="I47" s="137">
        <f t="shared" si="21"/>
        <v>201.68101167985483</v>
      </c>
      <c r="J47" s="226">
        <f t="shared" si="21"/>
        <v>313.74001808701519</v>
      </c>
      <c r="K47" s="242">
        <f t="shared" si="21"/>
        <v>126.44214277593986</v>
      </c>
      <c r="L47" s="137">
        <f t="shared" si="21"/>
        <v>262.70046920543297</v>
      </c>
      <c r="M47" s="137">
        <f t="shared" si="21"/>
        <v>346.77179877446525</v>
      </c>
      <c r="N47" s="137">
        <f t="shared" ref="N47" si="22">N44+N42+N40+N37</f>
        <v>1111.3319658563778</v>
      </c>
    </row>
    <row r="48" spans="1:14" s="60" customFormat="1" x14ac:dyDescent="0.25">
      <c r="A48" s="421" t="s">
        <v>69</v>
      </c>
      <c r="B48" s="421"/>
      <c r="C48" s="421"/>
      <c r="D48" s="421"/>
      <c r="E48" s="59"/>
      <c r="F48" s="59"/>
      <c r="G48" s="59"/>
      <c r="H48" s="59"/>
      <c r="I48" s="59"/>
      <c r="J48" s="217"/>
      <c r="K48" s="233"/>
      <c r="L48" s="59"/>
      <c r="M48" s="59"/>
      <c r="N48" s="59"/>
    </row>
    <row r="49" spans="1:17" ht="24.75" x14ac:dyDescent="0.25">
      <c r="A49" s="82" t="s">
        <v>70</v>
      </c>
      <c r="B49" s="7"/>
      <c r="C49" s="125">
        <f>(('User Inputs'!$B$3-'User Inputs'!$B$4)/(C7*'User Inputs'!$E$2)+'User Inputs'!$B$4/5+'User Inputs'!$B$4*'User Inputs'!$E$3/60)*60</f>
        <v>60</v>
      </c>
      <c r="D49" s="125">
        <f>(('User Inputs'!$B$3-'User Inputs'!$B$4)/(D7*'User Inputs'!$E$2)+'User Inputs'!$B$4/5+'User Inputs'!$B$4*'User Inputs'!$E$3/60)*60</f>
        <v>63.5</v>
      </c>
      <c r="E49" s="125">
        <f>(('User Inputs'!$B$3-'User Inputs'!$B$4)/(E7*'User Inputs'!$E$2)+'User Inputs'!$B$4/5+'User Inputs'!$B$4*'User Inputs'!$E$3/60)*60</f>
        <v>62.250000000000007</v>
      </c>
      <c r="F49" s="125">
        <f>(('User Inputs'!$B$3-'User Inputs'!$B$4)/(F7*'User Inputs'!$E$2)+'User Inputs'!$B$4/5+'User Inputs'!$B$4*'User Inputs'!$E$3/60)*60</f>
        <v>65.0625</v>
      </c>
      <c r="G49" s="125">
        <f>(('User Inputs'!$B$3-'User Inputs'!$B$4)/(G7*'User Inputs'!$E$2)+'User Inputs'!$B$4/5+'User Inputs'!$B$4*'User Inputs'!$E$3/60)*60</f>
        <v>59.035714285714285</v>
      </c>
      <c r="H49" s="125">
        <f>(('User Inputs'!$B$3-'User Inputs'!$B$4)/(H7*'User Inputs'!$E$2)+'User Inputs'!$B$4/5+'User Inputs'!$B$4*'User Inputs'!$E$3/60)*60</f>
        <v>63.5</v>
      </c>
      <c r="I49" s="125">
        <f>(('User Inputs'!$B$3-'User Inputs'!$B$4)/(I7*'User Inputs'!$E$2)+'User Inputs'!$B$4/5+'User Inputs'!$B$4*'User Inputs'!$E$3/60)*60</f>
        <v>59.035714285714285</v>
      </c>
      <c r="J49" s="215">
        <f>(('User Inputs'!$B$3-'User Inputs'!$B$4)/(J7*'User Inputs'!$E$2)+'User Inputs'!$B$4/5+'User Inputs'!$B$4*'User Inputs'!$E$3/60)*60</f>
        <v>59.653846153846153</v>
      </c>
      <c r="K49" s="231">
        <f>(('User Inputs'!$B$3-'User Inputs'!$B$4)/(K7*'User Inputs'!$E$2)+'User Inputs'!$B$4/5+'User Inputs'!$B$4*'User Inputs'!$E$3/60)*60</f>
        <v>73.5</v>
      </c>
      <c r="L49" s="125">
        <f>(('User Inputs'!$B$3-'User Inputs'!$B$4)/(L7*'User Inputs'!$E$2)+'User Inputs'!$B$4/5+'User Inputs'!$B$4*'User Inputs'!$E$3/60)*60</f>
        <v>69.749999999999986</v>
      </c>
      <c r="M49" s="125">
        <f>(('User Inputs'!$B$3-'User Inputs'!$B$4)/(AVERAGE(M5,M6)*'User Inputs'!$E$2)+'User Inputs'!$B$4/5+'User Inputs'!$B$4*'User Inputs'!$E$3/60)*60</f>
        <v>69.749999999999986</v>
      </c>
      <c r="N49" s="125">
        <f>(('User Inputs'!$B$3-'User Inputs'!$B$4)/(AVERAGE(N5,N6)*'User Inputs'!$E$2)+'User Inputs'!$B$4/5+'User Inputs'!$B$4*'User Inputs'!$E$3/60)*60</f>
        <v>56.55555555555555</v>
      </c>
    </row>
    <row r="50" spans="1:17" x14ac:dyDescent="0.25">
      <c r="A50" s="82"/>
      <c r="B50" s="7"/>
      <c r="C50" s="125"/>
      <c r="D50" s="125"/>
      <c r="E50" s="125"/>
      <c r="F50" s="125"/>
      <c r="G50" s="125"/>
      <c r="H50" s="125"/>
      <c r="I50" s="125"/>
      <c r="J50" s="215"/>
      <c r="K50" s="231"/>
      <c r="L50" s="125"/>
      <c r="M50" s="125"/>
      <c r="N50" s="125"/>
    </row>
    <row r="51" spans="1:17" ht="6" customHeight="1" x14ac:dyDescent="0.25">
      <c r="A51" s="83"/>
      <c r="B51" s="1"/>
      <c r="C51" s="1"/>
      <c r="D51" s="1"/>
      <c r="E51" s="1"/>
      <c r="F51" s="1"/>
      <c r="G51" s="1"/>
      <c r="H51" s="1"/>
      <c r="I51" s="1"/>
      <c r="J51" s="213"/>
      <c r="K51" s="229"/>
      <c r="L51" s="1"/>
      <c r="M51" s="1"/>
      <c r="N51" s="1"/>
    </row>
    <row r="52" spans="1:17" ht="24.75" x14ac:dyDescent="0.25">
      <c r="A52" s="82" t="s">
        <v>182</v>
      </c>
      <c r="B52" s="7" t="s">
        <v>56</v>
      </c>
      <c r="C52" s="185">
        <f>C14*'User Inputs'!$E$3*'User Inputs'!B4*'User Inputs'!$B$4/60+'User Inputs'!$B$4/5*C15+('User Inputs'!$B$3-'User Inputs'!$B$4)/('User Inputs'!$E$2*C5)*C16</f>
        <v>5.1572567500000002</v>
      </c>
      <c r="D52" s="185">
        <f>D14*'User Inputs'!$E$3*'User Inputs'!$B$4/60+'User Inputs'!$B$4/5*D15+('User Inputs'!$B$3-'User Inputs'!$B$4)/('User Inputs'!$E$2*D5)*D16</f>
        <v>8.9041134999999993</v>
      </c>
      <c r="E52" s="185">
        <f>E14*'User Inputs'!$E$3*'User Inputs'!$B$4/60+'User Inputs'!$B$4/5*E15+('User Inputs'!$B$3-'User Inputs'!$B$4)/('User Inputs'!$E$2*E5)*E16</f>
        <v>10.029748</v>
      </c>
      <c r="F52" s="185">
        <f>F14*'User Inputs'!$E$3*'User Inputs'!$B$4/60+'User Inputs'!$B$4/5*F15+('User Inputs'!$B$3-'User Inputs'!$B$4)/('User Inputs'!$E$2*F5)*F16</f>
        <v>11.579486330578513</v>
      </c>
      <c r="G52" s="185">
        <f>G14*'User Inputs'!$E$3*'User Inputs'!$B$4/60+'User Inputs'!$B$4/5*G15+('User Inputs'!$B$3-'User Inputs'!$B$4)/('User Inputs'!$E$2*G5)*G16</f>
        <v>17.12542921383837</v>
      </c>
      <c r="H52" s="185">
        <f>H14*'User Inputs'!$E$3*'User Inputs'!$B$4/60+'User Inputs'!$B$4/5*H15+('User Inputs'!$B$3-'User Inputs'!$B$4)/('User Inputs'!$E$2*H5)*H16</f>
        <v>15.801733124999998</v>
      </c>
      <c r="I52" s="185">
        <f>I14*'User Inputs'!$E$3*'User Inputs'!$B$4/60+'User Inputs'!$B$4/5*I15+('User Inputs'!$B$3-'User Inputs'!$B$4)/('User Inputs'!$E$2*I5)*I16</f>
        <v>32.293122857142855</v>
      </c>
      <c r="J52" s="185">
        <f>J14*'User Inputs'!$E$3*'User Inputs'!$B$4/60+'User Inputs'!$B$4/5*J15+('User Inputs'!$B$3-'User Inputs'!$B$4)/('User Inputs'!$E$2*J5)*J16</f>
        <v>46.747148195763337</v>
      </c>
      <c r="K52" s="243">
        <f>K14*'User Inputs'!$E$3*'User Inputs'!$B$4/60+'User Inputs'!$B$4/5*K15+('User Inputs'!$B$3-'User Inputs'!$B$4)/('User Inputs'!$E$2*K5)*K16</f>
        <v>11.005220000000001</v>
      </c>
      <c r="L52" s="185">
        <f>L14*'User Inputs'!$E$3*'User Inputs'!$B$4/60+'User Inputs'!$B$4/5*L15+('User Inputs'!$B$3-'User Inputs'!$B$4)/('User Inputs'!$E$2*L5)*L16</f>
        <v>33.525700000000001</v>
      </c>
      <c r="M52" s="185">
        <f>M14*'User Inputs'!$E$3*'User Inputs'!$B$4/60+'User Inputs'!$B$4/5*M15+('User Inputs'!$B$3-'User Inputs'!$B$4)/('User Inputs'!$E$2*M5)*M16</f>
        <v>37.663707000000002</v>
      </c>
      <c r="N52" s="185">
        <f>N14*'User Inputs'!$E$3*'User Inputs'!$B$4/60+'User Inputs'!$B$4/5*N15+('User Inputs'!$B$3-'User Inputs'!$B$4)/('User Inputs'!$E$2*N5)*N16</f>
        <v>295.00822105180532</v>
      </c>
    </row>
    <row r="53" spans="1:17" ht="24.75" x14ac:dyDescent="0.25">
      <c r="A53" s="82" t="s">
        <v>182</v>
      </c>
      <c r="B53" s="7" t="s">
        <v>57</v>
      </c>
      <c r="C53" s="185">
        <f>C14*'User Inputs'!$E$3*'User Inputs'!$B$4/60+'User Inputs'!$B$4/5*C15+('User Inputs'!$B$3-'User Inputs'!$B$4)/('User Inputs'!$E$2*C6)*C17</f>
        <v>4.8114729999999994</v>
      </c>
      <c r="D53" s="185">
        <f>D14*'User Inputs'!$E$3*'User Inputs'!$B$4/60+'User Inputs'!$B$4/5*D15+('User Inputs'!$B$3-'User Inputs'!$B$4)/('User Inputs'!$E$2*D6)*D17</f>
        <v>10.134113499999998</v>
      </c>
      <c r="E53" s="185">
        <f>E14*'User Inputs'!$E$3*'User Inputs'!$B$4/60+'User Inputs'!$B$4/5*E15+('User Inputs'!$B$3-'User Inputs'!$B$4)/('User Inputs'!$E$2*E6)*E17</f>
        <v>12.489748000000001</v>
      </c>
      <c r="F53" s="185">
        <f>F14*'User Inputs'!$E$3*'User Inputs'!$B$4/60+'User Inputs'!$B$4/5*F15+('User Inputs'!$B$3-'User Inputs'!$B$4)/('User Inputs'!$E$2*F6)*F17</f>
        <v>13.822838603305785</v>
      </c>
      <c r="G53" s="185">
        <f>G14*'User Inputs'!$E$3*'User Inputs'!$B$4/60+'User Inputs'!$B$4/5*G15+('User Inputs'!$B$3-'User Inputs'!$B$4)/('User Inputs'!$E$2*G6)*G17</f>
        <v>23.110068801939057</v>
      </c>
      <c r="H53" s="185">
        <f>H14*'User Inputs'!$E$3*'User Inputs'!$B$4/60+'User Inputs'!$B$4/5*H15+('User Inputs'!$B$3-'User Inputs'!$B$4)/('User Inputs'!$E$2*H6)*H17</f>
        <v>28.255483124999998</v>
      </c>
      <c r="I53" s="185">
        <f>I14*'User Inputs'!$E$3*'User Inputs'!$B$4/60+'User Inputs'!$B$4/5*I15+('User Inputs'!$B$3-'User Inputs'!$B$4)/('User Inputs'!$E$2*I6)*I17</f>
        <v>45.471694285714285</v>
      </c>
      <c r="J53" s="185">
        <f>J14*'User Inputs'!$E$3*'User Inputs'!$B$4/60+'User Inputs'!$B$4/5*J15+('User Inputs'!$B$3-'User Inputs'!$B$4)/('User Inputs'!$E$2*J6)*J17</f>
        <v>73.424850898466033</v>
      </c>
      <c r="K53" s="243">
        <f>K14*'User Inputs'!$E$3*'User Inputs'!$B$4/60+'User Inputs'!$B$4/5*K15+('User Inputs'!$B$3-'User Inputs'!$B$4)/('User Inputs'!$E$2*K6)*K17</f>
        <v>19.615220000000001</v>
      </c>
      <c r="L53" s="185">
        <f>L14*'User Inputs'!$E$3*'User Inputs'!$B$4/60+'User Inputs'!$B$4/5*L15+('User Inputs'!$B$3-'User Inputs'!$B$4)/('User Inputs'!$E$2*L6)*L17</f>
        <v>60.175699999999999</v>
      </c>
      <c r="M53" s="185">
        <f>M14*'User Inputs'!$E$3*'User Inputs'!$B$4/60+'User Inputs'!$B$4/5*M15+('User Inputs'!$B$3-'User Inputs'!$B$4)/('User Inputs'!$E$2*M6)*M17</f>
        <v>87.17120700000001</v>
      </c>
      <c r="N53" s="185">
        <f>N14*'User Inputs'!$E$3*'User Inputs'!$B$4/60+'User Inputs'!$B$4/5*N15+('User Inputs'!$B$3-'User Inputs'!$B$4)/('User Inputs'!$E$2*N6)*N17</f>
        <v>302.98294632653062</v>
      </c>
      <c r="O53" s="184"/>
      <c r="Q53" s="186"/>
    </row>
    <row r="57" spans="1:17" x14ac:dyDescent="0.25">
      <c r="A57" s="58"/>
    </row>
    <row r="58" spans="1:17" x14ac:dyDescent="0.25">
      <c r="A58" s="58"/>
    </row>
    <row r="59" spans="1:17" x14ac:dyDescent="0.25">
      <c r="A59" s="58"/>
    </row>
    <row r="60" spans="1:17" x14ac:dyDescent="0.25">
      <c r="A60" s="58"/>
    </row>
    <row r="61" spans="1:17" x14ac:dyDescent="0.25">
      <c r="A61" s="58"/>
    </row>
  </sheetData>
  <sheetProtection password="EF95" sheet="1" objects="1" scenarios="1"/>
  <mergeCells count="5">
    <mergeCell ref="A48:D48"/>
    <mergeCell ref="A1:B1"/>
    <mergeCell ref="A22:B22"/>
    <mergeCell ref="A26:B26"/>
    <mergeCell ref="A35:C35"/>
  </mergeCells>
  <pageMargins left="0.25" right="0.25" top="0.75" bottom="0.75" header="0.3" footer="0.3"/>
  <pageSetup scale="9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view="pageLayout" zoomScaleNormal="100" workbookViewId="0"/>
  </sheetViews>
  <sheetFormatPr defaultRowHeight="15" x14ac:dyDescent="0.25"/>
  <cols>
    <col min="1" max="1" width="18" customWidth="1"/>
    <col min="2" max="2" width="3" customWidth="1"/>
    <col min="3" max="3" width="13.7109375" bestFit="1" customWidth="1"/>
    <col min="4" max="4" width="9.7109375" style="9" customWidth="1"/>
    <col min="5" max="5" width="31.7109375" customWidth="1"/>
    <col min="6" max="8" width="13.7109375" bestFit="1" customWidth="1"/>
  </cols>
  <sheetData>
    <row r="1" spans="1:8" x14ac:dyDescent="0.25">
      <c r="D1"/>
    </row>
    <row r="2" spans="1:8" x14ac:dyDescent="0.25">
      <c r="D2"/>
    </row>
    <row r="3" spans="1:8" ht="15" customHeight="1" x14ac:dyDescent="0.25">
      <c r="A3" s="115" t="s">
        <v>92</v>
      </c>
      <c r="B3" s="2"/>
      <c r="C3" s="42" t="s">
        <v>81</v>
      </c>
      <c r="D3"/>
      <c r="G3" t="str">
        <f>'Manual Oper Maint'!C2</f>
        <v xml:space="preserve"> </v>
      </c>
      <c r="H3" t="str">
        <f>'Manual Oper Maint'!D2</f>
        <v xml:space="preserve"> </v>
      </c>
    </row>
    <row r="4" spans="1:8" x14ac:dyDescent="0.25">
      <c r="A4" s="38" t="s">
        <v>44</v>
      </c>
      <c r="B4" s="34"/>
      <c r="C4" s="31"/>
      <c r="D4"/>
    </row>
    <row r="5" spans="1:8" s="9" customFormat="1" x14ac:dyDescent="0.25">
      <c r="A5" s="4" t="s">
        <v>42</v>
      </c>
      <c r="B5" s="33">
        <v>0</v>
      </c>
      <c r="C5" s="301">
        <f>'Manual Capital RORO'!C14+SUM('Manual Oper Maint RORO'!C14:F14)</f>
        <v>1671161.2629957646</v>
      </c>
      <c r="D5" s="185"/>
      <c r="E5"/>
      <c r="G5"/>
      <c r="H5"/>
    </row>
    <row r="6" spans="1:8" s="9" customFormat="1" x14ac:dyDescent="0.25">
      <c r="A6" s="4" t="s">
        <v>42</v>
      </c>
      <c r="B6" s="33">
        <v>1</v>
      </c>
      <c r="C6" s="14">
        <f>IF(C$3=" "," ",'Manual Capital RORO'!C15+SUM('Manual Oper Maint RORO'!C15:F15))</f>
        <v>1884501.0441881518</v>
      </c>
      <c r="D6" s="185"/>
      <c r="E6"/>
      <c r="G6"/>
      <c r="H6"/>
    </row>
    <row r="7" spans="1:8" x14ac:dyDescent="0.25">
      <c r="A7" s="4" t="s">
        <v>42</v>
      </c>
      <c r="B7" s="33">
        <v>2</v>
      </c>
      <c r="C7" s="14">
        <f>IF(C$3=" "," ",'Manual Capital RORO'!C16+SUM('Manual Oper Maint RORO'!C16:F16))</f>
        <v>1943501.0441881518</v>
      </c>
      <c r="D7" s="185"/>
    </row>
    <row r="8" spans="1:8" x14ac:dyDescent="0.25">
      <c r="A8" s="4" t="s">
        <v>42</v>
      </c>
      <c r="B8" s="33">
        <v>3</v>
      </c>
      <c r="C8" s="14">
        <f>IF(C$3=" "," ",'Manual Capital RORO'!C17+SUM('Manual Oper Maint RORO'!C17:F17))</f>
        <v>2006501.0441881518</v>
      </c>
      <c r="D8" s="185"/>
    </row>
    <row r="9" spans="1:8" x14ac:dyDescent="0.25">
      <c r="A9" s="4" t="s">
        <v>42</v>
      </c>
      <c r="B9" s="33">
        <v>4</v>
      </c>
      <c r="C9" s="14">
        <f>IF(C$3=" "," ",'Manual Capital RORO'!C18+SUM('Manual Oper Maint RORO'!C18:F18))</f>
        <v>2074501.0441881518</v>
      </c>
      <c r="D9" s="185"/>
    </row>
    <row r="10" spans="1:8" x14ac:dyDescent="0.25">
      <c r="A10" s="4" t="s">
        <v>42</v>
      </c>
      <c r="B10" s="33">
        <v>5</v>
      </c>
      <c r="C10" s="14">
        <f>IF(C$3=" "," ",'Manual Capital RORO'!C19+SUM('Manual Oper Maint RORO'!C19:F19))</f>
        <v>2147501.0441881521</v>
      </c>
      <c r="D10" s="185"/>
    </row>
    <row r="11" spans="1:8" x14ac:dyDescent="0.25">
      <c r="A11" s="4" t="s">
        <v>42</v>
      </c>
      <c r="B11" s="33">
        <v>6</v>
      </c>
      <c r="C11" s="14">
        <f>IF(C$3=" "," ",'Manual Capital RORO'!C20+SUM('Manual Oper Maint RORO'!C20:F20))</f>
        <v>2226501.0441881521</v>
      </c>
      <c r="D11" s="185"/>
    </row>
    <row r="12" spans="1:8" x14ac:dyDescent="0.25">
      <c r="A12" s="4" t="s">
        <v>42</v>
      </c>
      <c r="B12" s="33">
        <v>7</v>
      </c>
      <c r="C12" s="14">
        <f>IF(C$3=" "," ",'Manual Capital RORO'!C21+SUM('Manual Oper Maint RORO'!C21:F21))</f>
        <v>2309501.0441881521</v>
      </c>
      <c r="D12" s="185"/>
      <c r="E12" s="140" t="s">
        <v>155</v>
      </c>
      <c r="F12" s="145">
        <f>ROUND('Manual Capital RORO'!C7,-3)</f>
        <v>1671000</v>
      </c>
    </row>
    <row r="13" spans="1:8" x14ac:dyDescent="0.25">
      <c r="A13" s="4" t="s">
        <v>42</v>
      </c>
      <c r="B13" s="33">
        <v>8</v>
      </c>
      <c r="C13" s="14">
        <f>IF(C$3=" "," ",'Manual Capital RORO'!C22+SUM('Manual Oper Maint RORO'!C22:F22))</f>
        <v>2400501.0441881521</v>
      </c>
      <c r="D13" s="185"/>
      <c r="E13" s="140" t="s">
        <v>154</v>
      </c>
      <c r="F13" s="145">
        <f>ROUND(SUM('Manual Capital RORO'!C15:C54),-3)</f>
        <v>11530000</v>
      </c>
    </row>
    <row r="14" spans="1:8" x14ac:dyDescent="0.25">
      <c r="A14" s="4" t="s">
        <v>42</v>
      </c>
      <c r="B14" s="33">
        <v>9</v>
      </c>
      <c r="C14" s="14">
        <f>IF(C$3=" "," ",'Manual Capital RORO'!C23+SUM('Manual Oper Maint RORO'!C23:F23))</f>
        <v>2498501.0441881521</v>
      </c>
      <c r="D14" s="185"/>
      <c r="E14" s="140" t="s">
        <v>146</v>
      </c>
      <c r="F14" s="142"/>
    </row>
    <row r="15" spans="1:8" x14ac:dyDescent="0.25">
      <c r="A15" s="4" t="s">
        <v>42</v>
      </c>
      <c r="B15" s="33">
        <v>10</v>
      </c>
      <c r="C15" s="14">
        <f>IF(C$3=" "," ",'Manual Capital RORO'!C24+SUM('Manual Oper Maint RORO'!C24:F24))</f>
        <v>2603501.0441881521</v>
      </c>
      <c r="D15" s="185"/>
      <c r="E15" s="143" t="s">
        <v>141</v>
      </c>
      <c r="F15" s="145">
        <f>ROUND(SUM('Manual Oper Maint RORO'!C57:J97),-3)</f>
        <v>179900000</v>
      </c>
    </row>
    <row r="16" spans="1:8" x14ac:dyDescent="0.25">
      <c r="A16" s="4" t="s">
        <v>42</v>
      </c>
      <c r="B16" s="33">
        <v>11</v>
      </c>
      <c r="C16" s="14">
        <f>IF(C$3=" "," ",'Manual Capital RORO'!C25+SUM('Manual Oper Maint RORO'!C25:F25))</f>
        <v>2718501.0441881521</v>
      </c>
      <c r="D16" s="185"/>
      <c r="E16" s="143" t="s">
        <v>147</v>
      </c>
      <c r="F16" s="145">
        <f>ROUND(SUM('Manual Oper Maint RORO'!C100:J140),-3)</f>
        <v>26895000</v>
      </c>
    </row>
    <row r="17" spans="1:6" x14ac:dyDescent="0.25">
      <c r="A17" s="4" t="s">
        <v>42</v>
      </c>
      <c r="B17" s="33">
        <v>12</v>
      </c>
      <c r="C17" s="14">
        <f>IF(C$3=" "," ",'Manual Capital RORO'!C26+SUM('Manual Oper Maint RORO'!C26:F26))</f>
        <v>2840501.0441881521</v>
      </c>
      <c r="D17" s="185"/>
      <c r="E17" s="143" t="s">
        <v>148</v>
      </c>
      <c r="F17" s="145">
        <f>ROUND(SUM('Manual Oper Maint RORO'!C143:J183),-3)</f>
        <v>16030000</v>
      </c>
    </row>
    <row r="18" spans="1:6" ht="25.5" x14ac:dyDescent="0.25">
      <c r="A18" s="4" t="s">
        <v>42</v>
      </c>
      <c r="B18" s="33">
        <v>13</v>
      </c>
      <c r="C18" s="14">
        <f>IF(C$3=" "," ",'Manual Capital RORO'!C27+SUM('Manual Oper Maint RORO'!C27:F27))</f>
        <v>2973501.0441881521</v>
      </c>
      <c r="D18" s="185"/>
      <c r="E18" s="148" t="s">
        <v>230</v>
      </c>
      <c r="F18" s="142">
        <f>SUM(F12:F17)</f>
        <v>236026000</v>
      </c>
    </row>
    <row r="19" spans="1:6" x14ac:dyDescent="0.25">
      <c r="A19" s="4" t="s">
        <v>42</v>
      </c>
      <c r="B19" s="33">
        <v>14</v>
      </c>
      <c r="C19" s="14">
        <f>IF(C$3=" "," ",'Manual Capital RORO'!C28+SUM('Manual Oper Maint RORO'!C28:F28))</f>
        <v>3118501.0441881521</v>
      </c>
      <c r="D19" s="185"/>
      <c r="E19" s="146" t="s">
        <v>157</v>
      </c>
      <c r="F19" s="57">
        <f>ROUND(NPV('User Inputs'!$E12, C5:C44,C45-C46),-3)</f>
        <v>136514000</v>
      </c>
    </row>
    <row r="20" spans="1:6" x14ac:dyDescent="0.25">
      <c r="A20" s="4" t="s">
        <v>42</v>
      </c>
      <c r="B20" s="33">
        <v>15</v>
      </c>
      <c r="C20" s="14">
        <f>IF(C$3=" "," ",'Manual Capital RORO'!C29+SUM('Manual Oper Maint RORO'!C29:F29))</f>
        <v>3273501.0441881521</v>
      </c>
      <c r="D20" s="185"/>
      <c r="E20" s="140" t="s">
        <v>138</v>
      </c>
      <c r="F20" s="119">
        <f>C6/'User Inputs'!$B23</f>
        <v>13.422372109602222</v>
      </c>
    </row>
    <row r="21" spans="1:6" ht="15" customHeight="1" x14ac:dyDescent="0.25">
      <c r="A21" s="4" t="s">
        <v>42</v>
      </c>
      <c r="B21" s="33">
        <v>16</v>
      </c>
      <c r="C21" s="14">
        <f>IF(C$3=" "," ",'Manual Capital RORO'!C30+SUM('Manual Oper Maint RORO'!C30:F30))</f>
        <v>3443501.0441881521</v>
      </c>
      <c r="D21" s="185"/>
    </row>
    <row r="22" spans="1:6" x14ac:dyDescent="0.25">
      <c r="A22" s="4" t="s">
        <v>42</v>
      </c>
      <c r="B22" s="33">
        <v>17</v>
      </c>
      <c r="C22" s="14">
        <f>IF(C$3=" "," ",'Manual Capital RORO'!C31+SUM('Manual Oper Maint RORO'!C31:F31))</f>
        <v>3627501.0441881521</v>
      </c>
      <c r="D22" s="269"/>
    </row>
    <row r="23" spans="1:6" x14ac:dyDescent="0.25">
      <c r="A23" s="4" t="s">
        <v>42</v>
      </c>
      <c r="B23" s="33">
        <v>18</v>
      </c>
      <c r="C23" s="14">
        <f>IF(C$3=" "," ",'Manual Capital RORO'!C32+SUM('Manual Oper Maint RORO'!C32:F32))</f>
        <v>3827501.0441881521</v>
      </c>
      <c r="D23" s="346"/>
      <c r="E23" s="204"/>
      <c r="F23" s="205" t="s">
        <v>81</v>
      </c>
    </row>
    <row r="24" spans="1:6" x14ac:dyDescent="0.25">
      <c r="A24" s="4" t="s">
        <v>42</v>
      </c>
      <c r="B24" s="33">
        <v>19</v>
      </c>
      <c r="C24" s="14">
        <f>IF(C$3=" "," ",'Manual Capital RORO'!C33+SUM('Manual Oper Maint RORO'!C33:F33))</f>
        <v>4044501.0441881521</v>
      </c>
      <c r="D24" s="346"/>
      <c r="E24" s="165" t="s">
        <v>54</v>
      </c>
      <c r="F24" s="206">
        <f>SUM('Manual Oper Maint RORO'!C11:J11)</f>
        <v>1147.3684210526317</v>
      </c>
    </row>
    <row r="25" spans="1:6" x14ac:dyDescent="0.25">
      <c r="A25" s="4" t="s">
        <v>42</v>
      </c>
      <c r="B25" s="33">
        <v>20</v>
      </c>
      <c r="C25" s="14">
        <f>IF(C$3=" "," ",'Manual Capital RORO'!C34+SUM('Manual Oper Maint RORO'!C34:F34))</f>
        <v>4280501.0441881521</v>
      </c>
      <c r="D25" s="347"/>
      <c r="E25" s="166" t="s">
        <v>99</v>
      </c>
      <c r="F25" s="206">
        <f>'Manual Capital RORO'!C15/SUM('Manual RORO'!B38:I38)</f>
        <v>362.57927307430936</v>
      </c>
    </row>
    <row r="26" spans="1:6" x14ac:dyDescent="0.25">
      <c r="A26" s="4" t="s">
        <v>42</v>
      </c>
      <c r="B26" s="33">
        <v>21</v>
      </c>
      <c r="C26" s="14">
        <f>IF(C$3=" "," ",'Manual Capital RORO'!C35+SUM('Manual Oper Maint RORO'!C35:F35))</f>
        <v>3962000</v>
      </c>
      <c r="D26" s="346"/>
      <c r="E26" s="166" t="s">
        <v>227</v>
      </c>
      <c r="F26" s="206">
        <f>'Manual Total RORO'!F15+'Manual Total RORO'!F16+'Manual Total RORO'!F17</f>
        <v>222825000</v>
      </c>
    </row>
    <row r="27" spans="1:6" x14ac:dyDescent="0.25">
      <c r="A27" s="4" t="s">
        <v>42</v>
      </c>
      <c r="B27" s="33">
        <v>22</v>
      </c>
      <c r="C27" s="14">
        <f>IF(C$3=" "," ",'Manual Capital RORO'!C36+SUM('Manual Oper Maint RORO'!C36:F36))</f>
        <v>4242000</v>
      </c>
      <c r="D27" s="346"/>
      <c r="E27" s="166" t="s">
        <v>228</v>
      </c>
      <c r="F27" s="206">
        <f>SUM('Manual Capital RORO'!C14:C54)</f>
        <v>13201182.146758799</v>
      </c>
    </row>
    <row r="28" spans="1:6" x14ac:dyDescent="0.25">
      <c r="A28" s="4" t="s">
        <v>42</v>
      </c>
      <c r="B28" s="33">
        <v>23</v>
      </c>
      <c r="C28" s="14">
        <f>IF(C$3=" "," ",'Manual Capital RORO'!C37+SUM('Manual Oper Maint RORO'!C37:F37))</f>
        <v>4548000</v>
      </c>
      <c r="D28" s="346"/>
      <c r="E28" s="166" t="s">
        <v>101</v>
      </c>
      <c r="F28" s="206">
        <f>F24+F25</f>
        <v>1509.9476941269411</v>
      </c>
    </row>
    <row r="29" spans="1:6" x14ac:dyDescent="0.25">
      <c r="A29" s="4" t="s">
        <v>42</v>
      </c>
      <c r="B29" s="33">
        <v>24</v>
      </c>
      <c r="C29" s="14">
        <f>IF(C$3=" "," ",'Manual Capital RORO'!C38+SUM('Manual Oper Maint RORO'!C38:F38))</f>
        <v>4881000</v>
      </c>
      <c r="D29" s="347"/>
      <c r="E29" s="207" t="s">
        <v>229</v>
      </c>
      <c r="F29" s="208">
        <f>NPV('User Inputs'!E12,'Manual Total RORO'!C5:C44,C45-C46)</f>
        <v>136514014.11596751</v>
      </c>
    </row>
    <row r="30" spans="1:6" x14ac:dyDescent="0.25">
      <c r="A30" s="4" t="s">
        <v>42</v>
      </c>
      <c r="B30" s="33">
        <v>25</v>
      </c>
      <c r="C30" s="14">
        <f>IF(C$3=" "," ",'Manual Capital RORO'!C39+SUM('Manual Oper Maint RORO'!C39:F39))</f>
        <v>5244000</v>
      </c>
      <c r="D30" s="348"/>
      <c r="E30" s="170"/>
      <c r="F30" s="170"/>
    </row>
    <row r="31" spans="1:6" ht="28.5" customHeight="1" x14ac:dyDescent="0.25">
      <c r="A31" s="4" t="s">
        <v>42</v>
      </c>
      <c r="B31" s="33">
        <v>26</v>
      </c>
      <c r="C31" s="14">
        <f>IF(C$3=" "," ",'Manual Capital RORO'!C40+SUM('Manual Oper Maint RORO'!C40:F40))</f>
        <v>5642000</v>
      </c>
      <c r="D31" s="349"/>
      <c r="E31" s="119"/>
      <c r="F31" s="119"/>
    </row>
    <row r="32" spans="1:6" x14ac:dyDescent="0.25">
      <c r="A32" s="4" t="s">
        <v>42</v>
      </c>
      <c r="B32" s="33">
        <v>27</v>
      </c>
      <c r="C32" s="14">
        <f>IF(C$3=" "," ",'Manual Capital RORO'!C41+SUM('Manual Oper Maint RORO'!C41:F41))</f>
        <v>6076000</v>
      </c>
      <c r="D32" s="269"/>
    </row>
    <row r="33" spans="1:4" x14ac:dyDescent="0.25">
      <c r="A33" s="4" t="s">
        <v>42</v>
      </c>
      <c r="B33" s="33">
        <v>28</v>
      </c>
      <c r="C33" s="14">
        <f>IF(C$3=" "," ",'Manual Capital RORO'!C42+SUM('Manual Oper Maint RORO'!C42:F42))</f>
        <v>6548000</v>
      </c>
      <c r="D33" s="269"/>
    </row>
    <row r="34" spans="1:4" x14ac:dyDescent="0.25">
      <c r="A34" s="4" t="s">
        <v>42</v>
      </c>
      <c r="B34" s="33">
        <v>29</v>
      </c>
      <c r="C34" s="14">
        <f>IF(C$3=" "," ",'Manual Capital RORO'!C43+SUM('Manual Oper Maint RORO'!C43:F43))</f>
        <v>7067000</v>
      </c>
      <c r="D34" s="269"/>
    </row>
    <row r="35" spans="1:4" x14ac:dyDescent="0.25">
      <c r="A35" s="4" t="s">
        <v>42</v>
      </c>
      <c r="B35" s="33">
        <v>30</v>
      </c>
      <c r="C35" s="14">
        <f>IF(C$3=" "," ",'Manual Capital RORO'!C44+SUM('Manual Oper Maint RORO'!C44:F44))</f>
        <v>7633000</v>
      </c>
      <c r="D35" s="269"/>
    </row>
    <row r="36" spans="1:4" x14ac:dyDescent="0.25">
      <c r="A36" s="4" t="s">
        <v>42</v>
      </c>
      <c r="B36" s="33">
        <v>31</v>
      </c>
      <c r="C36" s="14">
        <f>IF(C$3=" "," ",'Manual Capital RORO'!C45+SUM('Manual Oper Maint RORO'!C45:F45))</f>
        <v>8253000</v>
      </c>
      <c r="D36" s="269"/>
    </row>
    <row r="37" spans="1:4" x14ac:dyDescent="0.25">
      <c r="A37" s="4" t="s">
        <v>42</v>
      </c>
      <c r="B37" s="33">
        <v>32</v>
      </c>
      <c r="C37" s="14">
        <f>IF(C$3=" "," ",'Manual Capital RORO'!C46+SUM('Manual Oper Maint RORO'!C46:F46))</f>
        <v>8931000</v>
      </c>
      <c r="D37" s="269"/>
    </row>
    <row r="38" spans="1:4" x14ac:dyDescent="0.25">
      <c r="A38" s="4" t="s">
        <v>42</v>
      </c>
      <c r="B38" s="33">
        <v>33</v>
      </c>
      <c r="C38" s="14">
        <f>IF(C$3=" "," ",'Manual Capital RORO'!C47+SUM('Manual Oper Maint RORO'!C47:F47))</f>
        <v>9674000</v>
      </c>
      <c r="D38" s="269"/>
    </row>
    <row r="39" spans="1:4" x14ac:dyDescent="0.25">
      <c r="A39" s="4" t="s">
        <v>42</v>
      </c>
      <c r="B39" s="33">
        <v>34</v>
      </c>
      <c r="C39" s="14">
        <f>IF(C$3=" "," ",'Manual Capital RORO'!C48+SUM('Manual Oper Maint RORO'!C48:F48))</f>
        <v>10487000</v>
      </c>
      <c r="D39" s="269"/>
    </row>
    <row r="40" spans="1:4" x14ac:dyDescent="0.25">
      <c r="A40" s="4" t="s">
        <v>42</v>
      </c>
      <c r="B40" s="33">
        <v>35</v>
      </c>
      <c r="C40" s="14">
        <f>IF(C$3=" "," ",'Manual Capital RORO'!C49+SUM('Manual Oper Maint RORO'!C49:F49))</f>
        <v>11378000</v>
      </c>
      <c r="D40" s="269"/>
    </row>
    <row r="41" spans="1:4" ht="25.5" customHeight="1" x14ac:dyDescent="0.25">
      <c r="A41" s="4" t="s">
        <v>42</v>
      </c>
      <c r="B41" s="33">
        <v>36</v>
      </c>
      <c r="C41" s="14">
        <f>IF(C$3=" "," ",'Manual Capital RORO'!C50+SUM('Manual Oper Maint RORO'!C50:F50))</f>
        <v>12354000</v>
      </c>
      <c r="D41" s="269"/>
    </row>
    <row r="42" spans="1:4" x14ac:dyDescent="0.25">
      <c r="A42" s="4" t="s">
        <v>42</v>
      </c>
      <c r="B42" s="33">
        <v>37</v>
      </c>
      <c r="C42" s="14">
        <f>IF(C$3=" "," ",'Manual Capital RORO'!C51+SUM('Manual Oper Maint RORO'!C51:F51))</f>
        <v>13424000</v>
      </c>
      <c r="D42" s="269"/>
    </row>
    <row r="43" spans="1:4" x14ac:dyDescent="0.25">
      <c r="A43" s="4" t="s">
        <v>42</v>
      </c>
      <c r="B43" s="33">
        <v>38</v>
      </c>
      <c r="C43" s="14">
        <f>IF(C$3=" "," ",'Manual Capital RORO'!C52+SUM('Manual Oper Maint RORO'!C52:F52))</f>
        <v>14596000</v>
      </c>
      <c r="D43" s="269"/>
    </row>
    <row r="44" spans="1:4" x14ac:dyDescent="0.25">
      <c r="A44" s="4" t="s">
        <v>42</v>
      </c>
      <c r="B44" s="33">
        <v>39</v>
      </c>
      <c r="C44" s="14">
        <f>IF(C$3=" "," ",'Manual Capital RORO'!C53+SUM('Manual Oper Maint RORO'!C53:F53))</f>
        <v>15882000</v>
      </c>
      <c r="D44" s="269"/>
    </row>
    <row r="45" spans="1:4" x14ac:dyDescent="0.25">
      <c r="A45" s="4" t="s">
        <v>42</v>
      </c>
      <c r="B45" s="33">
        <v>40</v>
      </c>
      <c r="C45" s="14">
        <f>IF(C$3=" "," ",'Manual Capital RORO'!C54+SUM('Manual Oper Maint RORO'!C54:F54))</f>
        <v>17292000</v>
      </c>
      <c r="D45" s="269"/>
    </row>
    <row r="46" spans="1:4" x14ac:dyDescent="0.25">
      <c r="A46" s="428" t="s">
        <v>178</v>
      </c>
      <c r="B46" s="429"/>
      <c r="C46" s="46">
        <f>SUM('Manual Capital RORO'!C12:J12)</f>
        <v>668464.50519830547</v>
      </c>
      <c r="D46" s="269"/>
    </row>
  </sheetData>
  <sheetProtection password="EF95" sheet="1" objects="1" scenarios="1"/>
  <mergeCells count="1">
    <mergeCell ref="A46:B46"/>
  </mergeCells>
  <pageMargins left="0.25" right="0.25" top="0.75" bottom="0.75" header="0.3" footer="0.3"/>
  <pageSetup orientation="landscape" r:id="rId1"/>
  <headerFooter>
    <oddHeader xml:space="preserve">&amp;CTotal Cost Years 1 to 15
</oddHeader>
    <oddFooter>&amp;C&amp;D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zoomScaleNormal="100" workbookViewId="0"/>
  </sheetViews>
  <sheetFormatPr defaultRowHeight="15" x14ac:dyDescent="0.25"/>
  <cols>
    <col min="1" max="1" width="28.85546875" customWidth="1"/>
    <col min="2" max="3" width="12.140625" customWidth="1"/>
    <col min="4" max="4" width="12.7109375" customWidth="1"/>
    <col min="5" max="5" width="12.140625" customWidth="1"/>
    <col min="6" max="6" width="12.42578125" customWidth="1"/>
    <col min="7" max="7" width="13.42578125" customWidth="1"/>
    <col min="8" max="8" width="15.140625" bestFit="1" customWidth="1"/>
    <col min="9" max="9" width="13" customWidth="1"/>
    <col min="10" max="10" width="13.42578125" customWidth="1"/>
    <col min="11" max="11" width="13.28515625" customWidth="1"/>
    <col min="12" max="12" width="13.5703125" customWidth="1"/>
    <col min="13" max="13" width="13.85546875" customWidth="1"/>
    <col min="14" max="14" width="12.140625" bestFit="1" customWidth="1"/>
    <col min="15" max="15" width="11.85546875" bestFit="1" customWidth="1"/>
    <col min="16" max="16" width="14.28515625" bestFit="1" customWidth="1"/>
    <col min="17" max="18" width="12.7109375" customWidth="1"/>
  </cols>
  <sheetData>
    <row r="1" spans="1:9" ht="15" customHeight="1" x14ac:dyDescent="0.25">
      <c r="A1" s="19"/>
      <c r="B1" s="42" t="str">
        <f>'Vessel Data'!C3</f>
        <v>12-30 Pax Skiff</v>
      </c>
      <c r="C1" s="42" t="str">
        <f>'Vessel Data'!D3</f>
        <v>31-50 Pax Pontoon</v>
      </c>
      <c r="D1" s="42" t="str">
        <f>'Vessel Data'!E3</f>
        <v>31-50 Pax Mono or Cat</v>
      </c>
      <c r="E1" s="42" t="str">
        <f>'Vessel Data'!F3</f>
        <v>51-100 Pax, &lt;20kt</v>
      </c>
      <c r="F1" s="42" t="str">
        <f>'Vessel Data'!G3</f>
        <v>51-100 Pax, &gt;20kt</v>
      </c>
      <c r="G1" s="42" t="str">
        <f>'Vessel Data'!H3</f>
        <v>101-150 Pax, &lt;20kt</v>
      </c>
      <c r="H1" s="42" t="str">
        <f>'Vessel Data'!I3</f>
        <v>101-150 Pax, &gt;20kt</v>
      </c>
      <c r="I1" s="42" t="str">
        <f>'Vessel Data'!J3</f>
        <v>151-300 Pax</v>
      </c>
    </row>
    <row r="2" spans="1:9" x14ac:dyDescent="0.25">
      <c r="A2" s="123" t="s">
        <v>184</v>
      </c>
      <c r="B2" s="20"/>
      <c r="C2" s="20"/>
      <c r="D2" s="20"/>
      <c r="E2" s="20"/>
      <c r="F2" s="20"/>
      <c r="G2" s="20"/>
      <c r="H2" s="20"/>
      <c r="I2" s="21"/>
    </row>
    <row r="3" spans="1:9" x14ac:dyDescent="0.25">
      <c r="A3" s="187" t="s">
        <v>76</v>
      </c>
      <c r="B3" s="23">
        <f>'Vessel Data'!C7*'User Inputs'!$E$2</f>
        <v>20</v>
      </c>
      <c r="C3" s="23">
        <f>'Vessel Data'!D7*'User Inputs'!$E$2</f>
        <v>14.4</v>
      </c>
      <c r="D3" s="23">
        <f>'Vessel Data'!E7*'User Inputs'!$E$2</f>
        <v>16</v>
      </c>
      <c r="E3" s="23">
        <f>'Vessel Data'!F7*'User Inputs'!$E$2</f>
        <v>12.8</v>
      </c>
      <c r="F3" s="23">
        <f>'Vessel Data'!G7*'User Inputs'!$E$2</f>
        <v>22.400000000000002</v>
      </c>
      <c r="G3" s="23">
        <f>'Vessel Data'!H7*'User Inputs'!$E$2</f>
        <v>14.4</v>
      </c>
      <c r="H3" s="23">
        <f>'Vessel Data'!I7*'User Inputs'!$E$2</f>
        <v>22.400000000000002</v>
      </c>
      <c r="I3" s="23">
        <f>'Vessel Data'!J7*'User Inputs'!$E$2</f>
        <v>20.8</v>
      </c>
    </row>
    <row r="4" spans="1:9" x14ac:dyDescent="0.25">
      <c r="A4" s="22" t="s">
        <v>27</v>
      </c>
      <c r="B4" s="23">
        <f>'Vessel Data'!C10-1</f>
        <v>29</v>
      </c>
      <c r="C4" s="23">
        <f>'Vessel Data'!D10-1</f>
        <v>49</v>
      </c>
      <c r="D4" s="23">
        <f>'Vessel Data'!E10-1</f>
        <v>49</v>
      </c>
      <c r="E4" s="23">
        <f>'Vessel Data'!F10-1</f>
        <v>99</v>
      </c>
      <c r="F4" s="23">
        <f>'Vessel Data'!G10-1</f>
        <v>99</v>
      </c>
      <c r="G4" s="23">
        <f>'Vessel Data'!H10-1</f>
        <v>149</v>
      </c>
      <c r="H4" s="23">
        <f>'Vessel Data'!I10-1</f>
        <v>149</v>
      </c>
      <c r="I4" s="23">
        <f>'Vessel Data'!J10-1</f>
        <v>299</v>
      </c>
    </row>
    <row r="5" spans="1:9" x14ac:dyDescent="0.25">
      <c r="A5" s="22" t="s">
        <v>9</v>
      </c>
      <c r="B5" s="24">
        <f>'Vessel Data'!C19</f>
        <v>1</v>
      </c>
      <c r="C5" s="24">
        <f>'Vessel Data'!D19</f>
        <v>2</v>
      </c>
      <c r="D5" s="24">
        <f>'Vessel Data'!E19</f>
        <v>2</v>
      </c>
      <c r="E5" s="24">
        <f>'Vessel Data'!F19</f>
        <v>2</v>
      </c>
      <c r="F5" s="24">
        <f>'Vessel Data'!G19</f>
        <v>2</v>
      </c>
      <c r="G5" s="24">
        <f>'Vessel Data'!H19</f>
        <v>2</v>
      </c>
      <c r="H5" s="24">
        <f>'Vessel Data'!I19</f>
        <v>2</v>
      </c>
      <c r="I5" s="25">
        <f>'Vessel Data'!J19</f>
        <v>4</v>
      </c>
    </row>
    <row r="6" spans="1:9" x14ac:dyDescent="0.25">
      <c r="A6" s="22" t="s">
        <v>83</v>
      </c>
      <c r="B6" s="89">
        <f>IF('User Inputs'!$E$18="1-5 Years",'Vessel Data'!C23*0.931,IF('User Inputs'!$E$18='User Inputs'!$O$30,'Vessel Data'!C23,IF('User Inputs'!$E$18='User Inputs'!$O$32,'Vessel Data'!C23*0.816,IF('User Inputs'!$E$18='User Inputs'!$O$33,'Vessel Data'!C23*0.655,IF('User Inputs'!$E$18='User Inputs'!$O$34,'Vessel Data'!C23*0.425,'Vessel Data'!C23*0.15)))))</f>
        <v>73440</v>
      </c>
      <c r="C6" s="89">
        <f>IF('User Inputs'!$E$18="1-5 Years",'Vessel Data'!D23*0.931,IF('User Inputs'!$E$18='User Inputs'!$O$30,'Vessel Data'!D23,IF('User Inputs'!$E$18='User Inputs'!$O$32,'Vessel Data'!D23*0.816,IF('User Inputs'!$E$18='User Inputs'!$O$33,'Vessel Data'!D23*0.655,IF('User Inputs'!$E$18='User Inputs'!$O$34,'Vessel Data'!D23*0.425,'Vessel Data'!D23*0.15)))))</f>
        <v>163200</v>
      </c>
      <c r="D6" s="89">
        <f>IF('User Inputs'!$E$18="1-5 Years",'Vessel Data'!E23*0.931,IF('User Inputs'!$E$18='User Inputs'!$O$30,'Vessel Data'!E23,IF('User Inputs'!$E$18='User Inputs'!$O$32,'Vessel Data'!E23*0.816,IF('User Inputs'!$E$18='User Inputs'!$O$33,'Vessel Data'!E23*0.655,IF('User Inputs'!$E$18='User Inputs'!$O$34,'Vessel Data'!E23*0.425,'Vessel Data'!E23*0.15)))))</f>
        <v>146880</v>
      </c>
      <c r="E6" s="89">
        <f>IF('User Inputs'!$E$18="1-5 Years",'Vessel Data'!F23*0.931,IF('User Inputs'!$E$18='User Inputs'!$O$30,'Vessel Data'!F23,IF('User Inputs'!$E$18='User Inputs'!$O$32,'Vessel Data'!F23*0.816,IF('User Inputs'!$E$18='User Inputs'!$O$33,'Vessel Data'!F23*0.655,IF('User Inputs'!$E$18='User Inputs'!$O$34,'Vessel Data'!F23*0.425,'Vessel Data'!F23*0.15)))))</f>
        <v>183600</v>
      </c>
      <c r="F6" s="89">
        <f>IF('User Inputs'!$E$18="1-5 Years",'Vessel Data'!G23*0.931,IF('User Inputs'!$E$18='User Inputs'!$O$30,'Vessel Data'!G23,IF('User Inputs'!$E$18='User Inputs'!$O$32,'Vessel Data'!G23*0.816,IF('User Inputs'!$E$18='User Inputs'!$O$33,'Vessel Data'!G23*0.655,IF('User Inputs'!$E$18='User Inputs'!$O$34,'Vessel Data'!G23*0.425,'Vessel Data'!G23*0.15)))))</f>
        <v>367200</v>
      </c>
      <c r="G6" s="89">
        <f>IF('User Inputs'!$E$18="1-5 Years",'Vessel Data'!H23*0.931,IF('User Inputs'!$E$18='User Inputs'!$O$30,'Vessel Data'!H23,IF('User Inputs'!$E$18='User Inputs'!$O$32,'Vessel Data'!H23*0.816,IF('User Inputs'!$E$18='User Inputs'!$O$33,'Vessel Data'!H23*0.655,IF('User Inputs'!$E$18='User Inputs'!$O$34,'Vessel Data'!H23*0.425,'Vessel Data'!H23*0.15)))))</f>
        <v>326400</v>
      </c>
      <c r="H6" s="89">
        <f>IF('User Inputs'!$E$18="1-5 Years",'Vessel Data'!I23*0.931,IF('User Inputs'!$E$18='User Inputs'!$O$30,'Vessel Data'!I23,IF('User Inputs'!$E$18='User Inputs'!$O$32,'Vessel Data'!I23*0.816,IF('User Inputs'!$E$18='User Inputs'!$O$33,'Vessel Data'!I23*0.655,IF('User Inputs'!$E$18='User Inputs'!$O$34,'Vessel Data'!I23*0.425,'Vessel Data'!I23*0.15)))))</f>
        <v>571200</v>
      </c>
      <c r="I6" s="89">
        <f>IF('User Inputs'!$E$18="1-5 Years",'Vessel Data'!J23*0.931,IF('User Inputs'!$E$18='User Inputs'!$O$30,'Vessel Data'!J23,IF('User Inputs'!$E$18='User Inputs'!$O$32,'Vessel Data'!J23*0.816,IF('User Inputs'!$E$18='User Inputs'!$O$33,'Vessel Data'!J23*0.655,IF('User Inputs'!$E$18='User Inputs'!$O$34,'Vessel Data'!J23*0.425,'Vessel Data'!J23*0.15)))))</f>
        <v>669120</v>
      </c>
    </row>
    <row r="7" spans="1:9" x14ac:dyDescent="0.25">
      <c r="A7" s="22" t="s">
        <v>84</v>
      </c>
      <c r="B7" s="89">
        <f>IF('User Inputs'!$E$18="1-5 Years",'Vessel Data'!C24*0.931,IF('User Inputs'!$E$18='User Inputs'!$O$30,'Vessel Data'!C24,IF('User Inputs'!$E$18='User Inputs'!$O$32,'Vessel Data'!C24*0.816,IF('User Inputs'!$E$18='User Inputs'!$O$33,'Vessel Data'!C24*0.655,IF('User Inputs'!$E$18='User Inputs'!$O$34,'Vessel Data'!C24*0.425,'Vessel Data'!C24*0.15)))))</f>
        <v>244799.99999999997</v>
      </c>
      <c r="C7" s="89">
        <f>IF('User Inputs'!$E$18="1-5 Years",'Vessel Data'!D24*0.931,IF('User Inputs'!$E$18='User Inputs'!$O$30,'Vessel Data'!D24,IF('User Inputs'!$E$18='User Inputs'!$O$32,'Vessel Data'!D24*0.816,IF('User Inputs'!$E$18='User Inputs'!$O$33,'Vessel Data'!D24*0.655,IF('User Inputs'!$E$18='User Inputs'!$O$34,'Vessel Data'!D24*0.425,'Vessel Data'!D24*0.15)))))</f>
        <v>489599.99999999994</v>
      </c>
      <c r="D7" s="89">
        <f>IF('User Inputs'!$E$18="1-5 Years",'Vessel Data'!E24*0.931,IF('User Inputs'!$E$18='User Inputs'!$O$30,'Vessel Data'!E24,IF('User Inputs'!$E$18='User Inputs'!$O$32,'Vessel Data'!E24*0.816,IF('User Inputs'!$E$18='User Inputs'!$O$33,'Vessel Data'!E24*0.655,IF('User Inputs'!$E$18='User Inputs'!$O$34,'Vessel Data'!E24*0.425,'Vessel Data'!E24*0.15)))))</f>
        <v>807840</v>
      </c>
      <c r="E7" s="89">
        <f>IF('User Inputs'!$E$18="1-5 Years",'Vessel Data'!F24*0.931,IF('User Inputs'!$E$18='User Inputs'!$O$30,'Vessel Data'!F24,IF('User Inputs'!$E$18='User Inputs'!$O$32,'Vessel Data'!F24*0.816,IF('User Inputs'!$E$18='User Inputs'!$O$33,'Vessel Data'!F24*0.655,IF('User Inputs'!$E$18='User Inputs'!$O$34,'Vessel Data'!F24*0.425,'Vessel Data'!F24*0.15)))))</f>
        <v>816000</v>
      </c>
      <c r="F7" s="89">
        <f>IF('User Inputs'!$E$18="1-5 Years",'Vessel Data'!G24*0.931,IF('User Inputs'!$E$18='User Inputs'!$O$30,'Vessel Data'!G24,IF('User Inputs'!$E$18='User Inputs'!$O$32,'Vessel Data'!G24*0.816,IF('User Inputs'!$E$18='User Inputs'!$O$33,'Vessel Data'!G24*0.655,IF('User Inputs'!$E$18='User Inputs'!$O$34,'Vessel Data'!G24*0.425,'Vessel Data'!G24*0.15)))))</f>
        <v>2448000</v>
      </c>
      <c r="G7" s="89">
        <f>IF('User Inputs'!$E$18="1-5 Years",'Vessel Data'!H24*0.931,IF('User Inputs'!$E$18='User Inputs'!$O$30,'Vessel Data'!H24,IF('User Inputs'!$E$18='User Inputs'!$O$32,'Vessel Data'!H24*0.816,IF('User Inputs'!$E$18='User Inputs'!$O$33,'Vessel Data'!H24*0.655,IF('User Inputs'!$E$18='User Inputs'!$O$34,'Vessel Data'!H24*0.425,'Vessel Data'!H24*0.15)))))</f>
        <v>1468800</v>
      </c>
      <c r="H7" s="89">
        <f>IF('User Inputs'!$E$18="1-5 Years",'Vessel Data'!I24*0.931,IF('User Inputs'!$E$18='User Inputs'!$O$30,'Vessel Data'!I24,IF('User Inputs'!$E$18='User Inputs'!$O$32,'Vessel Data'!I24*0.816,IF('User Inputs'!$E$18='User Inputs'!$O$33,'Vessel Data'!I24*0.655,IF('User Inputs'!$E$18='User Inputs'!$O$34,'Vessel Data'!I24*0.425,'Vessel Data'!I24*0.15)))))</f>
        <v>6528000</v>
      </c>
      <c r="I7" s="89">
        <f>IF('User Inputs'!$E$18="1-5 Years",'Vessel Data'!J24*0.931,IF('User Inputs'!$E$18='User Inputs'!$O$30,'Vessel Data'!J24,IF('User Inputs'!$E$18='User Inputs'!$O$32,'Vessel Data'!J24*0.816,IF('User Inputs'!$E$18='User Inputs'!$O$33,'Vessel Data'!J24*0.655,IF('User Inputs'!$E$18='User Inputs'!$O$34,'Vessel Data'!J24*0.425,'Vessel Data'!J24*0.15)))))</f>
        <v>9302400</v>
      </c>
    </row>
    <row r="8" spans="1:9" x14ac:dyDescent="0.25">
      <c r="A8" s="123" t="s">
        <v>28</v>
      </c>
      <c r="B8" s="26"/>
      <c r="C8" s="26"/>
      <c r="D8" s="26"/>
      <c r="E8" s="26"/>
      <c r="F8" s="26"/>
      <c r="G8" s="26"/>
      <c r="H8" s="26"/>
      <c r="I8" s="63"/>
    </row>
    <row r="9" spans="1:9" x14ac:dyDescent="0.25">
      <c r="A9" s="22" t="s">
        <v>8</v>
      </c>
      <c r="B9" s="28">
        <f>'Vessel Data'!C49</f>
        <v>60</v>
      </c>
      <c r="C9" s="28">
        <f>'Vessel Data'!D49</f>
        <v>63.5</v>
      </c>
      <c r="D9" s="28">
        <f>'Vessel Data'!E49</f>
        <v>62.250000000000007</v>
      </c>
      <c r="E9" s="28">
        <f>'Vessel Data'!F49</f>
        <v>65.0625</v>
      </c>
      <c r="F9" s="28">
        <f>'Vessel Data'!G49</f>
        <v>59.035714285714285</v>
      </c>
      <c r="G9" s="28">
        <f>'Vessel Data'!H49</f>
        <v>63.5</v>
      </c>
      <c r="H9" s="28">
        <f>'Vessel Data'!I49</f>
        <v>59.035714285714285</v>
      </c>
      <c r="I9" s="28">
        <f>'Vessel Data'!J49</f>
        <v>59.653846153846153</v>
      </c>
    </row>
    <row r="10" spans="1:9" x14ac:dyDescent="0.25">
      <c r="A10" s="22" t="s">
        <v>71</v>
      </c>
      <c r="B10" s="28">
        <f t="shared" ref="B10:I10" si="0">B4*60/B9</f>
        <v>29</v>
      </c>
      <c r="C10" s="28">
        <f t="shared" si="0"/>
        <v>46.2992125984252</v>
      </c>
      <c r="D10" s="28">
        <f t="shared" si="0"/>
        <v>47.2289156626506</v>
      </c>
      <c r="E10" s="28">
        <f t="shared" si="0"/>
        <v>91.296829971181552</v>
      </c>
      <c r="F10" s="28">
        <f t="shared" si="0"/>
        <v>100.61705989110708</v>
      </c>
      <c r="G10" s="28">
        <f t="shared" si="0"/>
        <v>140.78740157480314</v>
      </c>
      <c r="H10" s="28">
        <f t="shared" si="0"/>
        <v>151.43375680580763</v>
      </c>
      <c r="I10" s="28">
        <f t="shared" si="0"/>
        <v>300.73500967117991</v>
      </c>
    </row>
    <row r="11" spans="1:9" x14ac:dyDescent="0.25">
      <c r="A11" s="22" t="s">
        <v>72</v>
      </c>
      <c r="B11" s="29">
        <f>ROUNDUP('User Inputs'!$B$9/B10,0)</f>
        <v>11</v>
      </c>
      <c r="C11" s="29">
        <f>ROUNDUP('User Inputs'!$B$9/C10,0)</f>
        <v>7</v>
      </c>
      <c r="D11" s="29">
        <f>ROUNDUP('User Inputs'!$B$9/D10,0)</f>
        <v>7</v>
      </c>
      <c r="E11" s="29">
        <f>ROUNDUP('User Inputs'!$B$9/E10,0)</f>
        <v>4</v>
      </c>
      <c r="F11" s="29">
        <f>ROUNDUP('User Inputs'!$B$9/F10,0)</f>
        <v>3</v>
      </c>
      <c r="G11" s="29">
        <f>ROUNDUP('User Inputs'!$B$9/G10,0)</f>
        <v>3</v>
      </c>
      <c r="H11" s="29">
        <f>ROUNDUP('User Inputs'!$B$9/H10,0)</f>
        <v>2</v>
      </c>
      <c r="I11" s="29">
        <f>ROUNDUP('User Inputs'!$B$9/I10,0)</f>
        <v>1</v>
      </c>
    </row>
    <row r="12" spans="1:9" x14ac:dyDescent="0.25">
      <c r="A12" s="22" t="s">
        <v>11</v>
      </c>
      <c r="B12" s="29">
        <f t="shared" ref="B12:I12" si="1">B5*B11</f>
        <v>11</v>
      </c>
      <c r="C12" s="29">
        <f t="shared" si="1"/>
        <v>14</v>
      </c>
      <c r="D12" s="29">
        <f t="shared" si="1"/>
        <v>14</v>
      </c>
      <c r="E12" s="29">
        <f t="shared" si="1"/>
        <v>8</v>
      </c>
      <c r="F12" s="29">
        <f t="shared" si="1"/>
        <v>6</v>
      </c>
      <c r="G12" s="29">
        <f t="shared" si="1"/>
        <v>6</v>
      </c>
      <c r="H12" s="29">
        <f t="shared" si="1"/>
        <v>4</v>
      </c>
      <c r="I12" s="29">
        <f t="shared" si="1"/>
        <v>4</v>
      </c>
    </row>
    <row r="13" spans="1:9" x14ac:dyDescent="0.25">
      <c r="A13" s="4" t="s">
        <v>128</v>
      </c>
      <c r="B13" s="13">
        <f>B23+B30+B36+B42</f>
        <v>1140</v>
      </c>
      <c r="C13" s="13">
        <f t="shared" ref="C13:I13" si="2">C23+C30+C36+C42</f>
        <v>1140</v>
      </c>
      <c r="D13" s="13">
        <f t="shared" si="2"/>
        <v>1140</v>
      </c>
      <c r="E13" s="13">
        <f t="shared" si="2"/>
        <v>1140</v>
      </c>
      <c r="F13" s="13">
        <f t="shared" si="2"/>
        <v>1140</v>
      </c>
      <c r="G13" s="13">
        <f t="shared" si="2"/>
        <v>1140</v>
      </c>
      <c r="H13" s="13">
        <f t="shared" si="2"/>
        <v>1140</v>
      </c>
      <c r="I13" s="13">
        <f t="shared" si="2"/>
        <v>1140</v>
      </c>
    </row>
    <row r="14" spans="1:9" x14ac:dyDescent="0.25">
      <c r="A14" s="4" t="s">
        <v>79</v>
      </c>
      <c r="B14" s="13">
        <f>B24+B31+B37+B43</f>
        <v>8370</v>
      </c>
      <c r="C14" s="13">
        <f t="shared" ref="C14:I14" si="3">C24+C31+C37+C43</f>
        <v>5550</v>
      </c>
      <c r="D14" s="13">
        <f t="shared" si="3"/>
        <v>5550</v>
      </c>
      <c r="E14" s="13">
        <f t="shared" si="3"/>
        <v>3060</v>
      </c>
      <c r="F14" s="13">
        <f t="shared" si="3"/>
        <v>2490</v>
      </c>
      <c r="G14" s="13">
        <f t="shared" si="3"/>
        <v>2490</v>
      </c>
      <c r="H14" s="13">
        <f t="shared" si="3"/>
        <v>1590</v>
      </c>
      <c r="I14" s="13">
        <f t="shared" si="3"/>
        <v>1140</v>
      </c>
    </row>
    <row r="15" spans="1:9" x14ac:dyDescent="0.25">
      <c r="A15" s="190" t="s">
        <v>197</v>
      </c>
      <c r="B15" s="13"/>
      <c r="C15" s="13"/>
      <c r="D15" s="13"/>
      <c r="E15" s="13"/>
      <c r="F15" s="13"/>
      <c r="G15" s="13"/>
      <c r="H15" s="13"/>
      <c r="I15" s="13"/>
    </row>
    <row r="16" spans="1:9" ht="30" x14ac:dyDescent="0.25">
      <c r="A16" s="190" t="s">
        <v>198</v>
      </c>
      <c r="B16" s="13"/>
      <c r="C16" s="13"/>
      <c r="D16" s="13"/>
      <c r="E16" s="13"/>
      <c r="F16" s="13"/>
      <c r="G16" s="13"/>
      <c r="H16" s="13"/>
      <c r="I16" s="13"/>
    </row>
    <row r="17" spans="1:9" ht="30" x14ac:dyDescent="0.25">
      <c r="A17" s="190" t="s">
        <v>199</v>
      </c>
      <c r="B17" s="13"/>
      <c r="C17" s="13"/>
      <c r="D17" s="13"/>
      <c r="E17" s="13"/>
      <c r="F17" s="13"/>
      <c r="G17" s="13"/>
      <c r="H17" s="13"/>
      <c r="I17" s="13"/>
    </row>
    <row r="18" spans="1:9" ht="6.75" customHeight="1" x14ac:dyDescent="0.25"/>
    <row r="19" spans="1:9" ht="15" customHeight="1" x14ac:dyDescent="0.25">
      <c r="A19" s="123" t="s">
        <v>121</v>
      </c>
      <c r="B19" s="424" t="s">
        <v>192</v>
      </c>
      <c r="C19" s="425"/>
      <c r="D19" s="425"/>
      <c r="E19" s="425"/>
    </row>
    <row r="20" spans="1:9" s="9" customFormat="1" x14ac:dyDescent="0.25">
      <c r="A20" s="22" t="s">
        <v>122</v>
      </c>
      <c r="B20" s="29">
        <f>ROUNDUP('User Inputs'!$B$9/B10,0)</f>
        <v>11</v>
      </c>
      <c r="C20" s="29">
        <f>ROUNDUP('User Inputs'!$B$9/C10,0)</f>
        <v>7</v>
      </c>
      <c r="D20" s="29">
        <f>ROUNDUP('User Inputs'!$B$9/D10,0)</f>
        <v>7</v>
      </c>
      <c r="E20" s="29">
        <f>ROUNDUP('User Inputs'!$B$9/E10,0)</f>
        <v>4</v>
      </c>
      <c r="F20" s="29">
        <f>ROUNDUP('User Inputs'!$B$9/F10,0)</f>
        <v>3</v>
      </c>
      <c r="G20" s="29">
        <f>ROUNDUP('User Inputs'!$B$9/G10,0)</f>
        <v>3</v>
      </c>
      <c r="H20" s="29">
        <f>ROUNDUP('User Inputs'!$B$9/H10,0)</f>
        <v>2</v>
      </c>
      <c r="I20" s="29">
        <f>ROUNDUP('User Inputs'!$B$9/I10,0)</f>
        <v>1</v>
      </c>
    </row>
    <row r="21" spans="1:9" x14ac:dyDescent="0.25">
      <c r="A21" s="22" t="s">
        <v>123</v>
      </c>
      <c r="B21" s="29">
        <f t="shared" ref="B21:I21" si="4">+B20*B5</f>
        <v>11</v>
      </c>
      <c r="C21" s="29">
        <f t="shared" si="4"/>
        <v>14</v>
      </c>
      <c r="D21" s="29">
        <f t="shared" si="4"/>
        <v>14</v>
      </c>
      <c r="E21" s="29">
        <f t="shared" si="4"/>
        <v>8</v>
      </c>
      <c r="F21" s="29">
        <f t="shared" si="4"/>
        <v>6</v>
      </c>
      <c r="G21" s="29">
        <f t="shared" si="4"/>
        <v>6</v>
      </c>
      <c r="H21" s="29">
        <f t="shared" si="4"/>
        <v>4</v>
      </c>
      <c r="I21" s="29">
        <f t="shared" si="4"/>
        <v>4</v>
      </c>
    </row>
    <row r="22" spans="1:9" x14ac:dyDescent="0.25">
      <c r="A22" s="22" t="s">
        <v>12</v>
      </c>
      <c r="B22" s="28">
        <f>B$9/B20</f>
        <v>5.4545454545454541</v>
      </c>
      <c r="C22" s="28">
        <f t="shared" ref="C22:I22" si="5">C9/C20</f>
        <v>9.0714285714285712</v>
      </c>
      <c r="D22" s="28">
        <f t="shared" si="5"/>
        <v>8.8928571428571441</v>
      </c>
      <c r="E22" s="28">
        <f t="shared" si="5"/>
        <v>16.265625</v>
      </c>
      <c r="F22" s="28">
        <f t="shared" si="5"/>
        <v>19.678571428571427</v>
      </c>
      <c r="G22" s="28">
        <f t="shared" si="5"/>
        <v>21.166666666666668</v>
      </c>
      <c r="H22" s="28">
        <f t="shared" si="5"/>
        <v>29.517857142857142</v>
      </c>
      <c r="I22" s="28">
        <f t="shared" si="5"/>
        <v>59.653846153846153</v>
      </c>
    </row>
    <row r="23" spans="1:9" x14ac:dyDescent="0.25">
      <c r="A23" s="90" t="s">
        <v>124</v>
      </c>
      <c r="B23" s="149">
        <f>+'User Inputs'!$B$8*'User Inputs'!$B$11/2</f>
        <v>450</v>
      </c>
      <c r="C23" s="149">
        <f>+'User Inputs'!$B$8*'User Inputs'!$B$11/2</f>
        <v>450</v>
      </c>
      <c r="D23" s="149">
        <f>+'User Inputs'!$B$8*'User Inputs'!$B$11/2</f>
        <v>450</v>
      </c>
      <c r="E23" s="149">
        <f>+'User Inputs'!$B$8*'User Inputs'!$B$11/2</f>
        <v>450</v>
      </c>
      <c r="F23" s="149">
        <f>+'User Inputs'!$B$8*'User Inputs'!$B$11/2</f>
        <v>450</v>
      </c>
      <c r="G23" s="149">
        <f>+'User Inputs'!$B$8*'User Inputs'!$B$11/2</f>
        <v>450</v>
      </c>
      <c r="H23" s="149">
        <f>+'User Inputs'!$B$8*'User Inputs'!$B$11/2</f>
        <v>450</v>
      </c>
      <c r="I23" s="149">
        <f>+'User Inputs'!$B$8*'User Inputs'!$B$11/2</f>
        <v>450</v>
      </c>
    </row>
    <row r="24" spans="1:9" x14ac:dyDescent="0.25">
      <c r="A24" s="90" t="s">
        <v>29</v>
      </c>
      <c r="B24" s="149">
        <f>+B23*B20</f>
        <v>4950</v>
      </c>
      <c r="C24" s="149">
        <f t="shared" ref="C24:I24" si="6">+C23*C20</f>
        <v>3150</v>
      </c>
      <c r="D24" s="149">
        <f t="shared" si="6"/>
        <v>3150</v>
      </c>
      <c r="E24" s="149">
        <f t="shared" si="6"/>
        <v>1800</v>
      </c>
      <c r="F24" s="149">
        <f t="shared" si="6"/>
        <v>1350</v>
      </c>
      <c r="G24" s="149">
        <f t="shared" si="6"/>
        <v>1350</v>
      </c>
      <c r="H24" s="149">
        <f t="shared" si="6"/>
        <v>900</v>
      </c>
      <c r="I24" s="149">
        <f t="shared" si="6"/>
        <v>450</v>
      </c>
    </row>
    <row r="25" spans="1:9" x14ac:dyDescent="0.25">
      <c r="A25" s="22" t="s">
        <v>13</v>
      </c>
      <c r="B25" s="195">
        <f>B10*B11</f>
        <v>319</v>
      </c>
      <c r="C25" s="195">
        <f>C10*C11</f>
        <v>324.09448818897641</v>
      </c>
      <c r="D25" s="195">
        <f>D10*D11</f>
        <v>330.60240963855421</v>
      </c>
      <c r="E25" s="195">
        <f t="shared" ref="E25:I25" si="7">E10*E11</f>
        <v>365.18731988472621</v>
      </c>
      <c r="F25" s="195">
        <f t="shared" si="7"/>
        <v>301.85117967332121</v>
      </c>
      <c r="G25" s="195">
        <f t="shared" si="7"/>
        <v>422.36220472440942</v>
      </c>
      <c r="H25" s="195">
        <f t="shared" si="7"/>
        <v>302.86751361161527</v>
      </c>
      <c r="I25" s="195">
        <f t="shared" si="7"/>
        <v>300.73500967117991</v>
      </c>
    </row>
    <row r="26" spans="1:9" x14ac:dyDescent="0.25">
      <c r="A26" s="123" t="s">
        <v>125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5">
      <c r="A27" s="22" t="s">
        <v>122</v>
      </c>
      <c r="B27" s="29">
        <f>ROUNDUP(('User Inputs'!$B$9/2)/B10,0)</f>
        <v>6</v>
      </c>
      <c r="C27" s="29">
        <f>ROUNDUP(('User Inputs'!$B$9/2)/C10,0)</f>
        <v>4</v>
      </c>
      <c r="D27" s="29">
        <f>ROUNDUP(('User Inputs'!$B$9/2)/D10,0)</f>
        <v>4</v>
      </c>
      <c r="E27" s="29">
        <f>ROUNDUP(('User Inputs'!$B$9/2)/E10,0)</f>
        <v>2</v>
      </c>
      <c r="F27" s="29">
        <f>ROUNDUP(('User Inputs'!$B$9/2)/F10,0)</f>
        <v>2</v>
      </c>
      <c r="G27" s="29">
        <f>ROUNDUP(('User Inputs'!$B$9/2)/G10,0)</f>
        <v>2</v>
      </c>
      <c r="H27" s="29">
        <f>ROUNDUP(('User Inputs'!$B$9/2)/H10,0)</f>
        <v>1</v>
      </c>
      <c r="I27" s="29">
        <f>ROUNDUP(('User Inputs'!$B$9/2)/I10,0)</f>
        <v>1</v>
      </c>
    </row>
    <row r="28" spans="1:9" x14ac:dyDescent="0.25">
      <c r="A28" s="22" t="s">
        <v>123</v>
      </c>
      <c r="B28" s="29">
        <f t="shared" ref="B28:I28" si="8">+B27*B$5</f>
        <v>6</v>
      </c>
      <c r="C28" s="29">
        <f t="shared" si="8"/>
        <v>8</v>
      </c>
      <c r="D28" s="29">
        <f t="shared" si="8"/>
        <v>8</v>
      </c>
      <c r="E28" s="29">
        <f t="shared" si="8"/>
        <v>4</v>
      </c>
      <c r="F28" s="29">
        <f t="shared" si="8"/>
        <v>4</v>
      </c>
      <c r="G28" s="29">
        <f t="shared" si="8"/>
        <v>4</v>
      </c>
      <c r="H28" s="29">
        <f t="shared" si="8"/>
        <v>2</v>
      </c>
      <c r="I28" s="29">
        <f t="shared" si="8"/>
        <v>4</v>
      </c>
    </row>
    <row r="29" spans="1:9" x14ac:dyDescent="0.25">
      <c r="A29" s="22" t="s">
        <v>12</v>
      </c>
      <c r="B29" s="28">
        <f t="shared" ref="B29:I29" si="9">B$9/B27</f>
        <v>10</v>
      </c>
      <c r="C29" s="28">
        <f t="shared" si="9"/>
        <v>15.875</v>
      </c>
      <c r="D29" s="28">
        <f t="shared" si="9"/>
        <v>15.562500000000002</v>
      </c>
      <c r="E29" s="28">
        <f t="shared" si="9"/>
        <v>32.53125</v>
      </c>
      <c r="F29" s="28">
        <f t="shared" si="9"/>
        <v>29.517857142857142</v>
      </c>
      <c r="G29" s="28">
        <f t="shared" si="9"/>
        <v>31.75</v>
      </c>
      <c r="H29" s="28">
        <f t="shared" si="9"/>
        <v>59.035714285714285</v>
      </c>
      <c r="I29" s="28">
        <f t="shared" si="9"/>
        <v>59.653846153846153</v>
      </c>
    </row>
    <row r="30" spans="1:9" x14ac:dyDescent="0.25">
      <c r="A30" s="90" t="s">
        <v>124</v>
      </c>
      <c r="B30" s="149">
        <f>B23</f>
        <v>450</v>
      </c>
      <c r="C30" s="149">
        <f t="shared" ref="C30:I30" si="10">C23</f>
        <v>450</v>
      </c>
      <c r="D30" s="149">
        <f t="shared" si="10"/>
        <v>450</v>
      </c>
      <c r="E30" s="149">
        <f t="shared" si="10"/>
        <v>450</v>
      </c>
      <c r="F30" s="149">
        <f t="shared" si="10"/>
        <v>450</v>
      </c>
      <c r="G30" s="149">
        <f t="shared" si="10"/>
        <v>450</v>
      </c>
      <c r="H30" s="149">
        <f t="shared" si="10"/>
        <v>450</v>
      </c>
      <c r="I30" s="149">
        <f t="shared" si="10"/>
        <v>450</v>
      </c>
    </row>
    <row r="31" spans="1:9" x14ac:dyDescent="0.25">
      <c r="A31" s="90" t="s">
        <v>29</v>
      </c>
      <c r="B31" s="149">
        <f>+B30*B27</f>
        <v>2700</v>
      </c>
      <c r="C31" s="149">
        <f t="shared" ref="C31:I31" si="11">+C30*C27</f>
        <v>1800</v>
      </c>
      <c r="D31" s="149">
        <f t="shared" si="11"/>
        <v>1800</v>
      </c>
      <c r="E31" s="149">
        <f t="shared" si="11"/>
        <v>900</v>
      </c>
      <c r="F31" s="149">
        <f t="shared" si="11"/>
        <v>900</v>
      </c>
      <c r="G31" s="149">
        <f t="shared" si="11"/>
        <v>900</v>
      </c>
      <c r="H31" s="149">
        <f t="shared" si="11"/>
        <v>450</v>
      </c>
      <c r="I31" s="149">
        <f t="shared" si="11"/>
        <v>450</v>
      </c>
    </row>
    <row r="32" spans="1:9" ht="15" customHeight="1" x14ac:dyDescent="0.25">
      <c r="A32" s="123" t="s">
        <v>126</v>
      </c>
      <c r="B32" s="424" t="s">
        <v>192</v>
      </c>
      <c r="C32" s="425"/>
      <c r="D32" s="425"/>
      <c r="E32" s="425"/>
      <c r="F32" s="11"/>
      <c r="G32" s="11"/>
      <c r="H32" s="11"/>
      <c r="I32" s="11"/>
    </row>
    <row r="33" spans="1:9" x14ac:dyDescent="0.25">
      <c r="A33" s="22" t="s">
        <v>122</v>
      </c>
      <c r="B33" s="29">
        <f>ROUNDUP('User Inputs'!$B$14/B10,0)</f>
        <v>4</v>
      </c>
      <c r="C33" s="29">
        <f>ROUNDUP('User Inputs'!$B$14/C10,0)</f>
        <v>3</v>
      </c>
      <c r="D33" s="29">
        <f>ROUNDUP('User Inputs'!$B$14/D10,0)</f>
        <v>3</v>
      </c>
      <c r="E33" s="29">
        <f>ROUNDUP('User Inputs'!$B$14/E10,0)</f>
        <v>2</v>
      </c>
      <c r="F33" s="29">
        <f>ROUNDUP('User Inputs'!$B$14/F10,0)</f>
        <v>1</v>
      </c>
      <c r="G33" s="29">
        <f>ROUNDUP('User Inputs'!$B$14/G10,0)</f>
        <v>1</v>
      </c>
      <c r="H33" s="29">
        <f>ROUNDUP('User Inputs'!$B$14/H10,0)</f>
        <v>1</v>
      </c>
      <c r="I33" s="29">
        <f>ROUNDUP('User Inputs'!$B$14/I10,0)</f>
        <v>1</v>
      </c>
    </row>
    <row r="34" spans="1:9" x14ac:dyDescent="0.25">
      <c r="A34" s="22" t="s">
        <v>123</v>
      </c>
      <c r="B34" s="29">
        <f t="shared" ref="B34:I34" si="12">+B33*B5</f>
        <v>4</v>
      </c>
      <c r="C34" s="29">
        <f t="shared" si="12"/>
        <v>6</v>
      </c>
      <c r="D34" s="29">
        <f t="shared" si="12"/>
        <v>6</v>
      </c>
      <c r="E34" s="29">
        <f t="shared" si="12"/>
        <v>4</v>
      </c>
      <c r="F34" s="29">
        <f t="shared" si="12"/>
        <v>2</v>
      </c>
      <c r="G34" s="29">
        <f t="shared" si="12"/>
        <v>2</v>
      </c>
      <c r="H34" s="29">
        <f t="shared" si="12"/>
        <v>2</v>
      </c>
      <c r="I34" s="29">
        <f t="shared" si="12"/>
        <v>4</v>
      </c>
    </row>
    <row r="35" spans="1:9" x14ac:dyDescent="0.25">
      <c r="A35" s="22" t="s">
        <v>12</v>
      </c>
      <c r="B35" s="28">
        <f t="shared" ref="B35:I35" si="13">B$9/B33</f>
        <v>15</v>
      </c>
      <c r="C35" s="28">
        <f t="shared" si="13"/>
        <v>21.166666666666668</v>
      </c>
      <c r="D35" s="28">
        <f t="shared" si="13"/>
        <v>20.750000000000004</v>
      </c>
      <c r="E35" s="28">
        <f t="shared" si="13"/>
        <v>32.53125</v>
      </c>
      <c r="F35" s="28">
        <f t="shared" si="13"/>
        <v>59.035714285714285</v>
      </c>
      <c r="G35" s="28">
        <f t="shared" si="13"/>
        <v>63.5</v>
      </c>
      <c r="H35" s="28">
        <f t="shared" si="13"/>
        <v>59.035714285714285</v>
      </c>
      <c r="I35" s="28">
        <f t="shared" si="13"/>
        <v>59.653846153846153</v>
      </c>
    </row>
    <row r="36" spans="1:9" x14ac:dyDescent="0.25">
      <c r="A36" s="90" t="s">
        <v>124</v>
      </c>
      <c r="B36" s="149">
        <f>+'User Inputs'!$B$13*'User Inputs'!$B$16/2</f>
        <v>120</v>
      </c>
      <c r="C36" s="149">
        <f>+'User Inputs'!$B$13*'User Inputs'!$B$16/2</f>
        <v>120</v>
      </c>
      <c r="D36" s="149">
        <f>+'User Inputs'!$B$13*'User Inputs'!$B$16/2</f>
        <v>120</v>
      </c>
      <c r="E36" s="149">
        <f>+'User Inputs'!$B$13*'User Inputs'!$B$16/2</f>
        <v>120</v>
      </c>
      <c r="F36" s="149">
        <f>+'User Inputs'!$B$13*'User Inputs'!$B$16/2</f>
        <v>120</v>
      </c>
      <c r="G36" s="149">
        <f>+'User Inputs'!$B$13*'User Inputs'!$B$16/2</f>
        <v>120</v>
      </c>
      <c r="H36" s="149">
        <f>+'User Inputs'!$B$13*'User Inputs'!$B$16/2</f>
        <v>120</v>
      </c>
      <c r="I36" s="149">
        <f>+'User Inputs'!$B$13*'User Inputs'!$B$16/2</f>
        <v>120</v>
      </c>
    </row>
    <row r="37" spans="1:9" x14ac:dyDescent="0.25">
      <c r="A37" s="90" t="s">
        <v>29</v>
      </c>
      <c r="B37" s="149">
        <f>+B36*B33</f>
        <v>480</v>
      </c>
      <c r="C37" s="149">
        <f t="shared" ref="C37:I37" si="14">+C36*C33</f>
        <v>360</v>
      </c>
      <c r="D37" s="149">
        <f t="shared" si="14"/>
        <v>360</v>
      </c>
      <c r="E37" s="149">
        <f t="shared" si="14"/>
        <v>240</v>
      </c>
      <c r="F37" s="149">
        <f t="shared" si="14"/>
        <v>120</v>
      </c>
      <c r="G37" s="149">
        <f t="shared" si="14"/>
        <v>120</v>
      </c>
      <c r="H37" s="149">
        <f t="shared" si="14"/>
        <v>120</v>
      </c>
      <c r="I37" s="149">
        <f t="shared" si="14"/>
        <v>120</v>
      </c>
    </row>
    <row r="38" spans="1:9" x14ac:dyDescent="0.25">
      <c r="A38" s="123" t="s">
        <v>127</v>
      </c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22" t="s">
        <v>122</v>
      </c>
      <c r="B39" s="29">
        <f>ROUNDUP(('User Inputs'!$B$14/2)/B10,0)</f>
        <v>2</v>
      </c>
      <c r="C39" s="29">
        <f>ROUNDUP(('User Inputs'!$B$14/2)/C10,0)</f>
        <v>2</v>
      </c>
      <c r="D39" s="29">
        <f>ROUNDUP(('User Inputs'!$B$14/2)/D10,0)</f>
        <v>2</v>
      </c>
      <c r="E39" s="29">
        <f>ROUNDUP(('User Inputs'!$B$14/2)/E10,0)</f>
        <v>1</v>
      </c>
      <c r="F39" s="29">
        <f>ROUNDUP(('User Inputs'!$B$14/2)/F10,0)</f>
        <v>1</v>
      </c>
      <c r="G39" s="29">
        <f>ROUNDUP(('User Inputs'!$B$14/2)/G10,0)</f>
        <v>1</v>
      </c>
      <c r="H39" s="29">
        <f>ROUNDUP(('User Inputs'!$B$14/2)/H10,0)</f>
        <v>1</v>
      </c>
      <c r="I39" s="29">
        <f>ROUNDUP(('User Inputs'!$B$14/2)/I10,0)</f>
        <v>1</v>
      </c>
    </row>
    <row r="40" spans="1:9" x14ac:dyDescent="0.25">
      <c r="A40" s="22" t="s">
        <v>123</v>
      </c>
      <c r="B40" s="29">
        <f t="shared" ref="B40:I40" si="15">+B39*B$5</f>
        <v>2</v>
      </c>
      <c r="C40" s="29">
        <f t="shared" si="15"/>
        <v>4</v>
      </c>
      <c r="D40" s="29">
        <f t="shared" si="15"/>
        <v>4</v>
      </c>
      <c r="E40" s="29">
        <f t="shared" si="15"/>
        <v>2</v>
      </c>
      <c r="F40" s="29">
        <f t="shared" si="15"/>
        <v>2</v>
      </c>
      <c r="G40" s="29">
        <f t="shared" si="15"/>
        <v>2</v>
      </c>
      <c r="H40" s="29">
        <f t="shared" si="15"/>
        <v>2</v>
      </c>
      <c r="I40" s="29">
        <f t="shared" si="15"/>
        <v>4</v>
      </c>
    </row>
    <row r="41" spans="1:9" x14ac:dyDescent="0.25">
      <c r="A41" s="22" t="s">
        <v>12</v>
      </c>
      <c r="B41" s="28">
        <f t="shared" ref="B41:I41" si="16">B$9/B39</f>
        <v>30</v>
      </c>
      <c r="C41" s="28">
        <f t="shared" si="16"/>
        <v>31.75</v>
      </c>
      <c r="D41" s="28">
        <f t="shared" si="16"/>
        <v>31.125000000000004</v>
      </c>
      <c r="E41" s="28">
        <f t="shared" si="16"/>
        <v>65.0625</v>
      </c>
      <c r="F41" s="28">
        <f t="shared" si="16"/>
        <v>59.035714285714285</v>
      </c>
      <c r="G41" s="28">
        <f t="shared" si="16"/>
        <v>63.5</v>
      </c>
      <c r="H41" s="28">
        <f t="shared" si="16"/>
        <v>59.035714285714285</v>
      </c>
      <c r="I41" s="28">
        <f t="shared" si="16"/>
        <v>59.653846153846153</v>
      </c>
    </row>
    <row r="42" spans="1:9" x14ac:dyDescent="0.25">
      <c r="A42" s="90" t="s">
        <v>124</v>
      </c>
      <c r="B42" s="149">
        <f>B36</f>
        <v>120</v>
      </c>
      <c r="C42" s="149">
        <f t="shared" ref="C42:I42" si="17">C36</f>
        <v>120</v>
      </c>
      <c r="D42" s="149">
        <f t="shared" si="17"/>
        <v>120</v>
      </c>
      <c r="E42" s="149">
        <f t="shared" si="17"/>
        <v>120</v>
      </c>
      <c r="F42" s="149">
        <f t="shared" si="17"/>
        <v>120</v>
      </c>
      <c r="G42" s="149">
        <f t="shared" si="17"/>
        <v>120</v>
      </c>
      <c r="H42" s="149">
        <f t="shared" si="17"/>
        <v>120</v>
      </c>
      <c r="I42" s="149">
        <f t="shared" si="17"/>
        <v>120</v>
      </c>
    </row>
    <row r="43" spans="1:9" x14ac:dyDescent="0.25">
      <c r="A43" s="90" t="s">
        <v>29</v>
      </c>
      <c r="B43" s="149">
        <f>+B42*B39</f>
        <v>240</v>
      </c>
      <c r="C43" s="149">
        <f t="shared" ref="C43:I43" si="18">+C42*C39</f>
        <v>240</v>
      </c>
      <c r="D43" s="149">
        <f t="shared" si="18"/>
        <v>240</v>
      </c>
      <c r="E43" s="149">
        <f t="shared" si="18"/>
        <v>120</v>
      </c>
      <c r="F43" s="149">
        <f t="shared" si="18"/>
        <v>120</v>
      </c>
      <c r="G43" s="149">
        <f t="shared" si="18"/>
        <v>120</v>
      </c>
      <c r="H43" s="149">
        <f t="shared" si="18"/>
        <v>120</v>
      </c>
      <c r="I43" s="149">
        <f t="shared" si="18"/>
        <v>120</v>
      </c>
    </row>
    <row r="44" spans="1:9" x14ac:dyDescent="0.25"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B45" s="11"/>
      <c r="C45" s="11"/>
      <c r="D45" s="11"/>
      <c r="E45" s="11"/>
      <c r="F45" s="11"/>
      <c r="G45" s="11"/>
      <c r="H45" s="11"/>
      <c r="I45" s="11"/>
    </row>
    <row r="47" spans="1:9" x14ac:dyDescent="0.25">
      <c r="C47" s="41"/>
      <c r="D47" s="41"/>
      <c r="E47" s="41"/>
      <c r="F47" s="41"/>
      <c r="G47" s="41"/>
      <c r="H47" s="41"/>
      <c r="I47" s="41"/>
    </row>
    <row r="49" spans="1:2" ht="30" x14ac:dyDescent="0.25">
      <c r="A49" s="120" t="s">
        <v>117</v>
      </c>
      <c r="B49" s="121">
        <f>+'User Inputs'!B9/'User Inputs'!B10</f>
        <v>0.21428571428571427</v>
      </c>
    </row>
    <row r="50" spans="1:2" ht="30" x14ac:dyDescent="0.25">
      <c r="A50" s="120" t="s">
        <v>120</v>
      </c>
      <c r="B50" s="122">
        <f>(1-B49)*'User Inputs'!B10/('User Inputs'!B11-1)</f>
        <v>122.22222222222223</v>
      </c>
    </row>
    <row r="51" spans="1:2" ht="30" x14ac:dyDescent="0.25">
      <c r="A51" s="120" t="s">
        <v>118</v>
      </c>
      <c r="B51" s="121">
        <f>+'User Inputs'!B14/'User Inputs'!B15</f>
        <v>0.16666666666666666</v>
      </c>
    </row>
    <row r="52" spans="1:2" ht="30" x14ac:dyDescent="0.25">
      <c r="A52" s="120" t="s">
        <v>119</v>
      </c>
      <c r="B52" s="122">
        <f>(1-B51)*'User Inputs'!B15/('User Inputs'!B16-1)</f>
        <v>55.555555555555557</v>
      </c>
    </row>
  </sheetData>
  <sheetProtection password="EF95" sheet="1" objects="1" scenarios="1"/>
  <mergeCells count="2">
    <mergeCell ref="B19:E19"/>
    <mergeCell ref="B32:E32"/>
  </mergeCells>
  <pageMargins left="0.25" right="0.25" top="0.75" bottom="0.75" header="0.3" footer="0.3"/>
  <pageSetup orientation="landscape" r:id="rId1"/>
  <headerFooter>
    <oddHeader xml:space="preserve">&amp;CService and Fleet Characteristics
</oddHeader>
    <oddFooter>&amp;C&amp;D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1"/>
  <sheetViews>
    <sheetView view="pageLayout" zoomScale="90" zoomScaleNormal="100" zoomScalePageLayoutView="90" workbookViewId="0">
      <selection sqref="A1:A3"/>
    </sheetView>
  </sheetViews>
  <sheetFormatPr defaultRowHeight="15" x14ac:dyDescent="0.25"/>
  <cols>
    <col min="1" max="1" width="20.7109375" customWidth="1"/>
    <col min="2" max="2" width="3.140625" customWidth="1"/>
    <col min="3" max="3" width="13.42578125" customWidth="1"/>
    <col min="4" max="4" width="13.7109375" customWidth="1"/>
    <col min="5" max="5" width="14.140625" customWidth="1"/>
    <col min="6" max="6" width="12.5703125" customWidth="1"/>
    <col min="7" max="7" width="13.7109375" customWidth="1"/>
    <col min="8" max="8" width="13.5703125" bestFit="1" customWidth="1"/>
    <col min="9" max="9" width="14.42578125" customWidth="1"/>
    <col min="10" max="10" width="14.28515625" customWidth="1"/>
    <col min="11" max="11" width="22.5703125" customWidth="1"/>
    <col min="12" max="12" width="3.42578125" customWidth="1"/>
    <col min="13" max="13" width="13.5703125" bestFit="1" customWidth="1"/>
    <col min="14" max="14" width="12.7109375" bestFit="1" customWidth="1"/>
    <col min="15" max="15" width="14.42578125" bestFit="1" customWidth="1"/>
    <col min="16" max="16" width="12.42578125" bestFit="1" customWidth="1"/>
    <col min="17" max="18" width="13.42578125" bestFit="1" customWidth="1"/>
    <col min="19" max="19" width="15.140625" bestFit="1" customWidth="1"/>
    <col min="20" max="20" width="13.42578125" bestFit="1" customWidth="1"/>
    <col min="21" max="21" width="23.140625" customWidth="1"/>
    <col min="22" max="22" width="3.28515625" customWidth="1"/>
    <col min="23" max="26" width="12.28515625" bestFit="1" customWidth="1"/>
    <col min="27" max="30" width="13.42578125" bestFit="1" customWidth="1"/>
  </cols>
  <sheetData>
    <row r="1" spans="1:30" ht="15" customHeight="1" x14ac:dyDescent="0.25">
      <c r="A1" s="115" t="s">
        <v>92</v>
      </c>
      <c r="B1" s="2"/>
      <c r="C1" s="164" t="str">
        <f>'Pax Service Overview'!B1</f>
        <v>12-30 Pax Skiff</v>
      </c>
      <c r="D1" s="164" t="str">
        <f>'Pax Service Overview'!C1</f>
        <v>31-50 Pax Pontoon</v>
      </c>
      <c r="E1" s="164" t="str">
        <f>'Pax Service Overview'!D1</f>
        <v>31-50 Pax Mono or Cat</v>
      </c>
      <c r="F1" s="164" t="str">
        <f>'Pax Service Overview'!E1</f>
        <v>51-100 Pax, &lt;20kt</v>
      </c>
      <c r="G1" s="164" t="str">
        <f>'Pax Service Overview'!F1</f>
        <v>51-100 Pax, &gt;20kt</v>
      </c>
      <c r="H1" s="164" t="str">
        <f>'Pax Service Overview'!G1</f>
        <v>101-150 Pax, &lt;20kt</v>
      </c>
      <c r="I1" s="164" t="str">
        <f>'Pax Service Overview'!H1</f>
        <v>101-150 Pax, &gt;20kt</v>
      </c>
      <c r="J1" s="164" t="str">
        <f>'Pax Service Overview'!I1</f>
        <v>151-300 Pax</v>
      </c>
      <c r="K1" s="115" t="s">
        <v>90</v>
      </c>
      <c r="L1" s="2"/>
      <c r="M1" s="42" t="str">
        <f>'Pax Service Overview'!B1</f>
        <v>12-30 Pax Skiff</v>
      </c>
      <c r="N1" s="42" t="str">
        <f>'Pax Service Overview'!C1</f>
        <v>31-50 Pax Pontoon</v>
      </c>
      <c r="O1" s="42" t="str">
        <f>'Pax Service Overview'!D1</f>
        <v>31-50 Pax Mono or Cat</v>
      </c>
      <c r="P1" s="42" t="str">
        <f>'Pax Service Overview'!E1</f>
        <v>51-100 Pax, &lt;20kt</v>
      </c>
      <c r="Q1" s="42" t="str">
        <f>'Pax Service Overview'!F1</f>
        <v>51-100 Pax, &gt;20kt</v>
      </c>
      <c r="R1" s="42" t="str">
        <f>'Pax Service Overview'!G1</f>
        <v>101-150 Pax, &lt;20kt</v>
      </c>
      <c r="S1" s="42" t="str">
        <f>'Pax Service Overview'!H1</f>
        <v>101-150 Pax, &gt;20kt</v>
      </c>
      <c r="T1" s="42" t="str">
        <f>'Pax Service Overview'!I1</f>
        <v>151-300 Pax</v>
      </c>
      <c r="U1" s="115" t="s">
        <v>91</v>
      </c>
      <c r="W1" s="42" t="str">
        <f>M1</f>
        <v>12-30 Pax Skiff</v>
      </c>
      <c r="X1" s="42" t="str">
        <f t="shared" ref="X1:AD1" si="0">N1</f>
        <v>31-50 Pax Pontoon</v>
      </c>
      <c r="Y1" s="42" t="str">
        <f t="shared" si="0"/>
        <v>31-50 Pax Mono or Cat</v>
      </c>
      <c r="Z1" s="42" t="str">
        <f t="shared" si="0"/>
        <v>51-100 Pax, &lt;20kt</v>
      </c>
      <c r="AA1" s="42" t="str">
        <f t="shared" si="0"/>
        <v>51-100 Pax, &gt;20kt</v>
      </c>
      <c r="AB1" s="42" t="str">
        <f t="shared" si="0"/>
        <v>101-150 Pax, &lt;20kt</v>
      </c>
      <c r="AC1" s="42" t="str">
        <f t="shared" si="0"/>
        <v>101-150 Pax, &gt;20kt</v>
      </c>
      <c r="AD1" s="42" t="str">
        <f t="shared" si="0"/>
        <v>151-300 Pax</v>
      </c>
    </row>
    <row r="2" spans="1:30" ht="24.75" customHeight="1" x14ac:dyDescent="0.25">
      <c r="A2" s="200" t="s">
        <v>189</v>
      </c>
      <c r="C2" s="189">
        <f>'User Inputs'!$B8*'Pax Service Overview'!B20+'User Inputs'!$B13*'Pax Service Overview'!B33+IF('User Inputs'!$E16="yes",('User Inputs'!$B8+'User Inputs'!$B13),0)</f>
        <v>1200</v>
      </c>
      <c r="D2" s="189">
        <f>'User Inputs'!$B8*'Pax Service Overview'!C20+'User Inputs'!$B13*'Pax Service Overview'!C33+IF('User Inputs'!$E16="yes",('User Inputs'!$B8+'User Inputs'!$B13),0)</f>
        <v>816</v>
      </c>
      <c r="E2" s="189">
        <f>'User Inputs'!$B8*'Pax Service Overview'!D20+'User Inputs'!$B13*'Pax Service Overview'!D33+IF('User Inputs'!$E16="yes",('User Inputs'!$B8+'User Inputs'!$B13),0)</f>
        <v>816</v>
      </c>
      <c r="F2" s="189">
        <f>'User Inputs'!$B8*'Pax Service Overview'!E20+'User Inputs'!$B13*'Pax Service Overview'!E33+IF('User Inputs'!$E16="yes",('User Inputs'!$B8+'User Inputs'!$B13),0)</f>
        <v>522</v>
      </c>
      <c r="G2" s="189">
        <f>'User Inputs'!$B8*'Pax Service Overview'!F20+'User Inputs'!$B13*'Pax Service Overview'!F33+IF('User Inputs'!$E16="yes",('User Inputs'!$B8+'User Inputs'!$B13),0)</f>
        <v>408</v>
      </c>
      <c r="H2" s="189">
        <f>'User Inputs'!$B8*'Pax Service Overview'!G20+'User Inputs'!$B13*'Pax Service Overview'!G33+IF('User Inputs'!$E16="yes",('User Inputs'!$B8+'User Inputs'!$B13),0)</f>
        <v>408</v>
      </c>
      <c r="I2" s="189">
        <f>'User Inputs'!$B8*'Pax Service Overview'!H20+'User Inputs'!$B13*'Pax Service Overview'!H33+IF('User Inputs'!$E16="yes",('User Inputs'!$B8+'User Inputs'!$B13),0)</f>
        <v>318</v>
      </c>
      <c r="J2" s="189">
        <f>'User Inputs'!$B8*'Pax Service Overview'!I20+'User Inputs'!$B13*'Pax Service Overview'!I33+IF('User Inputs'!$E16="yes",('User Inputs'!$B8+'User Inputs'!$B13),0)</f>
        <v>228</v>
      </c>
      <c r="K2" s="345"/>
      <c r="L2" s="124"/>
      <c r="M2" s="27"/>
      <c r="N2" s="27"/>
      <c r="O2" s="27"/>
      <c r="P2" s="27"/>
      <c r="Q2" s="27"/>
      <c r="R2" s="27"/>
      <c r="S2" s="27"/>
      <c r="T2" s="27"/>
      <c r="U2" s="115"/>
      <c r="W2" s="150"/>
      <c r="X2" s="150"/>
      <c r="Y2" s="150"/>
      <c r="Z2" s="150"/>
      <c r="AA2" s="150"/>
      <c r="AB2" s="150"/>
      <c r="AC2" s="150"/>
      <c r="AD2" s="150"/>
    </row>
    <row r="3" spans="1:30" ht="26.25" customHeight="1" x14ac:dyDescent="0.25">
      <c r="A3" s="39" t="s">
        <v>188</v>
      </c>
      <c r="B3" s="124"/>
      <c r="C3" s="189">
        <f>IF('User Inputs'!$B17="Yes",'User Inputs'!$B13*('Pax Service Overview'!B20-'Pax Service Overview'!B27)+'User Inputs'!$B20*'Pax Service Overview'!B11+IF('User Inputs'!$E16="yes",'User Inputs'!$B20,0),'User Inputs'!$B20*'Pax Service Overview'!B11+IF('User Inputs'!$E16="yes",'User Inputs'!$B20,0))</f>
        <v>2280</v>
      </c>
      <c r="D3" s="189">
        <f>IF('User Inputs'!$B17="Yes",'User Inputs'!$B13*('Pax Service Overview'!C20-'Pax Service Overview'!C27)+'User Inputs'!$B20*'Pax Service Overview'!C11+IF('User Inputs'!$E16="yes",'User Inputs'!$B20,0),'User Inputs'!$B20*'Pax Service Overview'!C11+IF('User Inputs'!$E16="yes",'User Inputs'!$B20,0))</f>
        <v>1512</v>
      </c>
      <c r="E3" s="189">
        <f>IF('User Inputs'!$B17="Yes",'User Inputs'!$B13*('Pax Service Overview'!D20-'Pax Service Overview'!D27)+'User Inputs'!$B20*'Pax Service Overview'!D11+IF('User Inputs'!$E16="yes",'User Inputs'!$B20,0),'User Inputs'!$B20*'Pax Service Overview'!D11+IF('User Inputs'!$E16="yes",'User Inputs'!$B20,0))</f>
        <v>1512</v>
      </c>
      <c r="F3" s="189">
        <f>IF('User Inputs'!$B17="Yes",'User Inputs'!$B13*('Pax Service Overview'!E20-'Pax Service Overview'!E27)+'User Inputs'!$B20*'Pax Service Overview'!E11+IF('User Inputs'!$E16="yes",'User Inputs'!$B20,0),'User Inputs'!$B20*'Pax Service Overview'!E11+IF('User Inputs'!$E16="yes",'User Inputs'!$B20,0))</f>
        <v>948</v>
      </c>
      <c r="G3" s="189">
        <f>IF('User Inputs'!$B17="Yes",'User Inputs'!$B13*('Pax Service Overview'!F20-'Pax Service Overview'!F27)+'User Inputs'!$B20*'Pax Service Overview'!F11+IF('User Inputs'!$E16="yes",'User Inputs'!$B20,0),'User Inputs'!$B20*'Pax Service Overview'!F11+IF('User Inputs'!$E16="yes",'User Inputs'!$B20,0))</f>
        <v>744</v>
      </c>
      <c r="H3" s="189">
        <f>IF('User Inputs'!$B17="Yes",'User Inputs'!$B13*('Pax Service Overview'!G20-'Pax Service Overview'!G27)+'User Inputs'!$B20*'Pax Service Overview'!G11+IF('User Inputs'!$E16="yes",'User Inputs'!$B20,0),'User Inputs'!$B20*'Pax Service Overview'!G11+IF('User Inputs'!$E16="yes",'User Inputs'!$B20,0))</f>
        <v>744</v>
      </c>
      <c r="I3" s="189">
        <f>IF('User Inputs'!$B17="Yes",'User Inputs'!$B13*('Pax Service Overview'!H20-'Pax Service Overview'!H27)+'User Inputs'!$B20*'Pax Service Overview'!H11+IF('User Inputs'!$E16="yes",'User Inputs'!$B20,0),'User Inputs'!$B20*'Pax Service Overview'!H11+IF('User Inputs'!$E16="yes",'User Inputs'!$B20,0))</f>
        <v>564</v>
      </c>
      <c r="J3" s="189">
        <f>IF('User Inputs'!$B17="Yes",'User Inputs'!$B13*('Pax Service Overview'!I20-'Pax Service Overview'!I27)+'User Inputs'!$B20*'Pax Service Overview'!I11+IF('User Inputs'!$E16="yes",'User Inputs'!$B20,0),'User Inputs'!$B20*'Pax Service Overview'!I11+IF('User Inputs'!$E16="yes",'User Inputs'!$B20,0))</f>
        <v>360</v>
      </c>
      <c r="K3" s="190"/>
      <c r="L3" s="191"/>
      <c r="M3" s="192"/>
      <c r="N3" s="192"/>
      <c r="O3" s="192"/>
      <c r="P3" s="192"/>
      <c r="Q3" s="192"/>
      <c r="R3" s="192"/>
      <c r="S3" s="192"/>
      <c r="T3" s="192"/>
      <c r="U3" s="115"/>
      <c r="W3" s="150"/>
      <c r="X3" s="150"/>
      <c r="Y3" s="150"/>
      <c r="Z3" s="150"/>
      <c r="AA3" s="150"/>
      <c r="AB3" s="150"/>
      <c r="AC3" s="150"/>
      <c r="AD3" s="150"/>
    </row>
    <row r="4" spans="1:30" ht="27" customHeight="1" x14ac:dyDescent="0.25">
      <c r="A4" s="39" t="s">
        <v>130</v>
      </c>
      <c r="B4" s="124"/>
      <c r="C4" s="193">
        <f>C2/(C2+C3)</f>
        <v>0.34482758620689657</v>
      </c>
      <c r="D4" s="193">
        <f t="shared" ref="D4:I4" si="1">D2/(D2+D3)</f>
        <v>0.35051546391752575</v>
      </c>
      <c r="E4" s="193">
        <f t="shared" si="1"/>
        <v>0.35051546391752575</v>
      </c>
      <c r="F4" s="193">
        <f t="shared" si="1"/>
        <v>0.35510204081632651</v>
      </c>
      <c r="G4" s="193">
        <f t="shared" si="1"/>
        <v>0.35416666666666669</v>
      </c>
      <c r="H4" s="193">
        <f t="shared" si="1"/>
        <v>0.35416666666666669</v>
      </c>
      <c r="I4" s="193">
        <f t="shared" si="1"/>
        <v>0.36054421768707484</v>
      </c>
      <c r="J4" s="193">
        <f>J2/(J2+J3)</f>
        <v>0.38775510204081631</v>
      </c>
    </row>
    <row r="5" spans="1:30" s="9" customFormat="1" ht="6.75" customHeight="1" x14ac:dyDescent="0.25">
      <c r="A5" s="105"/>
      <c r="B5" s="98"/>
      <c r="C5" s="35"/>
      <c r="D5" s="35"/>
      <c r="E5" s="35"/>
      <c r="F5" s="35"/>
      <c r="G5" s="35"/>
      <c r="H5" s="35"/>
      <c r="I5" s="35"/>
      <c r="J5" s="35"/>
      <c r="K5" s="101"/>
      <c r="L5" s="100"/>
      <c r="M5" s="35"/>
      <c r="N5" s="35"/>
      <c r="O5" s="35"/>
      <c r="P5" s="35"/>
      <c r="Q5" s="35"/>
      <c r="R5" s="35"/>
      <c r="S5" s="35"/>
      <c r="T5" s="35"/>
      <c r="U5" s="101" t="s">
        <v>93</v>
      </c>
      <c r="V5" s="99"/>
      <c r="W5" s="35"/>
      <c r="X5" s="35"/>
      <c r="Y5" s="35"/>
      <c r="Z5" s="35"/>
      <c r="AA5" s="35"/>
      <c r="AB5" s="35"/>
      <c r="AC5" s="35"/>
      <c r="AD5" s="35"/>
    </row>
    <row r="6" spans="1:30" s="9" customFormat="1" ht="15.75" customHeight="1" x14ac:dyDescent="0.25">
      <c r="A6" s="51" t="s">
        <v>185</v>
      </c>
      <c r="B6" s="98"/>
      <c r="C6" s="14">
        <f>AVERAGE(M6,W6)</f>
        <v>161362.5</v>
      </c>
      <c r="D6" s="14">
        <f t="shared" ref="D6:J6" si="2">AVERAGE(N6,X6)</f>
        <v>331000</v>
      </c>
      <c r="E6" s="14">
        <f t="shared" si="2"/>
        <v>484087.5</v>
      </c>
      <c r="F6" s="14">
        <f t="shared" si="2"/>
        <v>506843.75</v>
      </c>
      <c r="G6" s="14">
        <f t="shared" si="2"/>
        <v>1427437.5</v>
      </c>
      <c r="H6" s="14">
        <f t="shared" si="2"/>
        <v>910250</v>
      </c>
      <c r="I6" s="14">
        <f t="shared" si="2"/>
        <v>3599625</v>
      </c>
      <c r="J6" s="14">
        <f t="shared" si="2"/>
        <v>5056025</v>
      </c>
      <c r="K6" s="4" t="s">
        <v>186</v>
      </c>
      <c r="L6" s="100"/>
      <c r="M6" s="14">
        <f>'Vessel Data'!C23*(1-'User Inputs'!$E23*'User Inputs'!$E11)</f>
        <v>74475</v>
      </c>
      <c r="N6" s="14">
        <f>'Vessel Data'!D23*(1-'User Inputs'!$E23*'User Inputs'!$E11)</f>
        <v>165500</v>
      </c>
      <c r="O6" s="14">
        <f>'Vessel Data'!E23*(1-'User Inputs'!$E23*'User Inputs'!$E11)</f>
        <v>148950</v>
      </c>
      <c r="P6" s="14">
        <f>'Vessel Data'!F23*(1-'User Inputs'!$E23*'User Inputs'!$E11)</f>
        <v>186187.5</v>
      </c>
      <c r="Q6" s="14">
        <f>'Vessel Data'!G23*(1-'User Inputs'!$E23*'User Inputs'!$E11)</f>
        <v>372375</v>
      </c>
      <c r="R6" s="14">
        <f>'Vessel Data'!H23*(1-'User Inputs'!$E23*'User Inputs'!$E11)</f>
        <v>331000</v>
      </c>
      <c r="S6" s="14">
        <f>'Vessel Data'!I23*(1-'User Inputs'!$E23*'User Inputs'!$E11)</f>
        <v>579250</v>
      </c>
      <c r="T6" s="14">
        <f>'Vessel Data'!J23*(1-'User Inputs'!$E23*'User Inputs'!$E11)</f>
        <v>678550</v>
      </c>
      <c r="U6" s="101"/>
      <c r="V6" s="99"/>
      <c r="W6" s="14">
        <f>'Vessel Data'!C24*(1-'User Inputs'!$E23*'User Inputs'!$E11)</f>
        <v>248250</v>
      </c>
      <c r="X6" s="14">
        <f>'Vessel Data'!D24*(1-'User Inputs'!$E23*'User Inputs'!$E11)</f>
        <v>496500</v>
      </c>
      <c r="Y6" s="14">
        <f>'Vessel Data'!E24*(1-'User Inputs'!$E23*'User Inputs'!$E11)</f>
        <v>819225</v>
      </c>
      <c r="Z6" s="14">
        <f>'Vessel Data'!F24*(1-'User Inputs'!$E23*'User Inputs'!$E11)</f>
        <v>827500</v>
      </c>
      <c r="AA6" s="14">
        <f>'Vessel Data'!G24*(1-'User Inputs'!$E23*'User Inputs'!$E11)</f>
        <v>2482500</v>
      </c>
      <c r="AB6" s="14">
        <f>'Vessel Data'!H24*(1-'User Inputs'!$E23*'User Inputs'!$E11)</f>
        <v>1489500</v>
      </c>
      <c r="AC6" s="14">
        <f>'Vessel Data'!I24*(1-'User Inputs'!$E23*'User Inputs'!$E11)</f>
        <v>6620000</v>
      </c>
      <c r="AD6" s="14">
        <f>'Vessel Data'!J24*(1-'User Inputs'!$E23*'User Inputs'!$E11)</f>
        <v>9433500</v>
      </c>
    </row>
    <row r="7" spans="1:30" x14ac:dyDescent="0.25">
      <c r="A7" s="4" t="s">
        <v>131</v>
      </c>
      <c r="B7" s="93"/>
      <c r="C7" s="14">
        <f>IF('User Inputs'!$E$16="Yes",-1*C6*('Pax Service Overview'!B11+1),-1*C6*'Pax Service Overview'!B11)</f>
        <v>-1936350</v>
      </c>
      <c r="D7" s="14">
        <f>IF('User Inputs'!$E$16="Yes",-1*D6*('Pax Service Overview'!C11+1),-1*D6*'Pax Service Overview'!C11)</f>
        <v>-2648000</v>
      </c>
      <c r="E7" s="14">
        <f>IF('User Inputs'!$E$16="Yes",-1*E6*('Pax Service Overview'!D11+1),-1*E6*'Pax Service Overview'!D11)</f>
        <v>-3872700</v>
      </c>
      <c r="F7" s="14">
        <f>IF('User Inputs'!$E$16="Yes",-1*F6*('Pax Service Overview'!E11+1),-1*F6*'Pax Service Overview'!E11)</f>
        <v>-2534218.75</v>
      </c>
      <c r="G7" s="14">
        <f>IF('User Inputs'!$E$16="Yes",-1*G6*('Pax Service Overview'!F11+1),-1*G6*'Pax Service Overview'!F11)</f>
        <v>-5709750</v>
      </c>
      <c r="H7" s="14">
        <f>IF('User Inputs'!$E$16="Yes",-1*H6*('Pax Service Overview'!G11+1),-1*H6*'Pax Service Overview'!G11)</f>
        <v>-3641000</v>
      </c>
      <c r="I7" s="14">
        <f>IF('User Inputs'!$E$16="Yes",-1*I6*('Pax Service Overview'!H11+1),-1*I6*'Pax Service Overview'!H11)</f>
        <v>-10798875</v>
      </c>
      <c r="J7" s="14">
        <f>IF('User Inputs'!$E$16="Yes",-1*J6*('Pax Service Overview'!I11+1),-1*J6*'Pax Service Overview'!I11)</f>
        <v>-10112050</v>
      </c>
      <c r="K7" s="4" t="s">
        <v>88</v>
      </c>
      <c r="L7" s="92"/>
      <c r="M7" s="14">
        <f>IF('User Inputs'!$E$16="Yes",-1*M6*('Pax Service Overview'!B11+1),-1*M6*'Pax Service Overview'!B11)</f>
        <v>-893700</v>
      </c>
      <c r="N7" s="14">
        <f>IF('User Inputs'!$E$16="Yes",-1*N6*('Pax Service Overview'!C11+1),-1*N6*'Pax Service Overview'!C11)</f>
        <v>-1324000</v>
      </c>
      <c r="O7" s="14">
        <f>IF('User Inputs'!$E$16="Yes",-1*O6*('Pax Service Overview'!D11+1),-1*O6*'Pax Service Overview'!D11)</f>
        <v>-1191600</v>
      </c>
      <c r="P7" s="14">
        <f>IF('User Inputs'!$E$16="Yes",-1*P6*('Pax Service Overview'!E11+1),-1*P6*'Pax Service Overview'!E11)</f>
        <v>-930937.5</v>
      </c>
      <c r="Q7" s="14">
        <f>IF('User Inputs'!$E$16="Yes",-1*Q6*('Pax Service Overview'!F11+1),-1*Q6*'Pax Service Overview'!F11)</f>
        <v>-1489500</v>
      </c>
      <c r="R7" s="14">
        <f>IF('User Inputs'!$E$16="Yes",-1*R6*('Pax Service Overview'!G11+1),-1*R6*'Pax Service Overview'!G11)</f>
        <v>-1324000</v>
      </c>
      <c r="S7" s="14">
        <f>IF('User Inputs'!$E$16="Yes",-1*S6*('Pax Service Overview'!H11+1),-1*S6*'Pax Service Overview'!H11)</f>
        <v>-1737750</v>
      </c>
      <c r="T7" s="14">
        <f>IF('User Inputs'!$E$16="Yes",-1*T6*('Pax Service Overview'!I11+1),-1*T6*'Pax Service Overview'!I11)</f>
        <v>-1357100</v>
      </c>
      <c r="U7" s="4" t="s">
        <v>45</v>
      </c>
      <c r="V7" s="94"/>
      <c r="W7" s="14">
        <f>IF('User Inputs'!$E$16="Yes",-1*W6*('Pax Service Overview'!B11+1),-1*W6*'Pax Service Overview'!B11)</f>
        <v>-2979000</v>
      </c>
      <c r="X7" s="14">
        <f>IF('User Inputs'!$E$16="Yes",-1*X6*('Pax Service Overview'!C11+1),-1*X6*'Pax Service Overview'!C11)</f>
        <v>-3972000</v>
      </c>
      <c r="Y7" s="14">
        <f>IF('User Inputs'!$E$16="Yes",-1*Y6*('Pax Service Overview'!D11+1),-1*Y6*'Pax Service Overview'!D11)</f>
        <v>-6553800</v>
      </c>
      <c r="Z7" s="14">
        <f>IF('User Inputs'!$E$16="Yes",-1*Z6*('Pax Service Overview'!E11+1),-1*Z6*'Pax Service Overview'!E11)</f>
        <v>-4137500</v>
      </c>
      <c r="AA7" s="14">
        <f>IF('User Inputs'!$E$16="Yes",-1*AA6*('Pax Service Overview'!F11+1),-1*AA6*'Pax Service Overview'!F11)</f>
        <v>-9930000</v>
      </c>
      <c r="AB7" s="14">
        <f>IF('User Inputs'!$E$16="Yes",-1*AB6*('Pax Service Overview'!G11+1),-1*AB6*'Pax Service Overview'!G11)</f>
        <v>-5958000</v>
      </c>
      <c r="AC7" s="14">
        <f>IF('User Inputs'!$E$16="Yes",-1*AC6*('Pax Service Overview'!H11+1),-1*AC6*'Pax Service Overview'!H11)</f>
        <v>-19860000</v>
      </c>
      <c r="AD7" s="14">
        <f>IF('User Inputs'!$E$16="Yes",-1*AD6*('Pax Service Overview'!I11+1),-1*AD6*'Pax Service Overview'!I11)</f>
        <v>-18867000</v>
      </c>
    </row>
    <row r="8" spans="1:30" ht="27" customHeight="1" x14ac:dyDescent="0.25">
      <c r="A8" s="70" t="s">
        <v>73</v>
      </c>
      <c r="B8" s="93" t="s">
        <v>145</v>
      </c>
      <c r="C8" s="91">
        <f>C7*C$4</f>
        <v>-667706.89655172417</v>
      </c>
      <c r="D8" s="91">
        <f t="shared" ref="D8:J8" si="3">D7*D$4</f>
        <v>-928164.9484536082</v>
      </c>
      <c r="E8" s="91">
        <f t="shared" si="3"/>
        <v>-1357441.237113402</v>
      </c>
      <c r="F8" s="91">
        <f t="shared" si="3"/>
        <v>-899906.25</v>
      </c>
      <c r="G8" s="91">
        <f t="shared" si="3"/>
        <v>-2022203.125</v>
      </c>
      <c r="H8" s="91">
        <f t="shared" si="3"/>
        <v>-1289520.8333333335</v>
      </c>
      <c r="I8" s="91">
        <f t="shared" si="3"/>
        <v>-3893471.9387755105</v>
      </c>
      <c r="J8" s="91">
        <f t="shared" si="3"/>
        <v>-3920998.9795918367</v>
      </c>
      <c r="K8" s="70" t="s">
        <v>73</v>
      </c>
      <c r="L8" s="92"/>
      <c r="M8" s="91">
        <f t="shared" ref="M8:T8" si="4">M7*C$4</f>
        <v>-308172.41379310348</v>
      </c>
      <c r="N8" s="91">
        <f t="shared" si="4"/>
        <v>-464082.4742268041</v>
      </c>
      <c r="O8" s="91">
        <f t="shared" si="4"/>
        <v>-417674.22680412367</v>
      </c>
      <c r="P8" s="91">
        <f t="shared" si="4"/>
        <v>-330577.80612244894</v>
      </c>
      <c r="Q8" s="91">
        <f t="shared" si="4"/>
        <v>-527531.25</v>
      </c>
      <c r="R8" s="91">
        <f t="shared" si="4"/>
        <v>-468916.66666666669</v>
      </c>
      <c r="S8" s="91">
        <f t="shared" si="4"/>
        <v>-626535.71428571432</v>
      </c>
      <c r="T8" s="91">
        <f t="shared" si="4"/>
        <v>-526222.44897959183</v>
      </c>
      <c r="U8" s="70" t="s">
        <v>73</v>
      </c>
      <c r="V8" s="94"/>
      <c r="W8" s="91">
        <f t="shared" ref="W8:AD8" si="5">W7*C$4</f>
        <v>-1027241.3793103449</v>
      </c>
      <c r="X8" s="91">
        <f t="shared" si="5"/>
        <v>-1392247.4226804122</v>
      </c>
      <c r="Y8" s="91">
        <f t="shared" si="5"/>
        <v>-2297208.2474226803</v>
      </c>
      <c r="Z8" s="91">
        <f t="shared" si="5"/>
        <v>-1469234.693877551</v>
      </c>
      <c r="AA8" s="91">
        <f t="shared" si="5"/>
        <v>-3516875</v>
      </c>
      <c r="AB8" s="91">
        <f t="shared" si="5"/>
        <v>-2110125</v>
      </c>
      <c r="AC8" s="91">
        <f t="shared" si="5"/>
        <v>-7160408.1632653065</v>
      </c>
      <c r="AD8" s="91">
        <f t="shared" si="5"/>
        <v>-7315775.5102040814</v>
      </c>
    </row>
    <row r="9" spans="1:30" x14ac:dyDescent="0.25">
      <c r="A9" s="39" t="s">
        <v>50</v>
      </c>
      <c r="B9" s="72"/>
      <c r="C9" s="14">
        <f>-'User Inputs'!$E17*C8</f>
        <v>133541.37931034484</v>
      </c>
      <c r="D9" s="14">
        <f>-'User Inputs'!$E17*D8</f>
        <v>185632.98969072165</v>
      </c>
      <c r="E9" s="14">
        <f>-'User Inputs'!$E17*E8</f>
        <v>271488.24742268043</v>
      </c>
      <c r="F9" s="14">
        <f>-'User Inputs'!$E17*F8</f>
        <v>179981.25</v>
      </c>
      <c r="G9" s="14">
        <f>-'User Inputs'!$E17*G8</f>
        <v>404440.625</v>
      </c>
      <c r="H9" s="14">
        <f>-'User Inputs'!$E17*H8</f>
        <v>257904.16666666672</v>
      </c>
      <c r="I9" s="14">
        <f>-'User Inputs'!$E17*I8</f>
        <v>778694.38775510213</v>
      </c>
      <c r="J9" s="14">
        <f>-'User Inputs'!$E17*J8</f>
        <v>784199.79591836734</v>
      </c>
      <c r="K9" s="39" t="s">
        <v>50</v>
      </c>
      <c r="L9" s="72"/>
      <c r="M9" s="69">
        <f>-'User Inputs'!$E$17*'Pax Capital'!M8</f>
        <v>61634.482758620696</v>
      </c>
      <c r="N9" s="69">
        <f>-'User Inputs'!$E$17*'Pax Capital'!N8</f>
        <v>92816.494845360823</v>
      </c>
      <c r="O9" s="69">
        <f>-'User Inputs'!$E$17*'Pax Capital'!O8</f>
        <v>83534.845360824736</v>
      </c>
      <c r="P9" s="69">
        <f>-'User Inputs'!$E$17*'Pax Capital'!P8</f>
        <v>66115.561224489793</v>
      </c>
      <c r="Q9" s="69">
        <f>-'User Inputs'!$E$17*'Pax Capital'!Q8</f>
        <v>105506.25</v>
      </c>
      <c r="R9" s="69">
        <f>-'User Inputs'!$E$17*'Pax Capital'!R8</f>
        <v>93783.333333333343</v>
      </c>
      <c r="S9" s="69">
        <f>-'User Inputs'!$E$17*'Pax Capital'!S8</f>
        <v>125307.14285714287</v>
      </c>
      <c r="T9" s="69">
        <f>-'User Inputs'!$E$17*'Pax Capital'!T8</f>
        <v>105244.48979591837</v>
      </c>
      <c r="U9" s="39" t="s">
        <v>50</v>
      </c>
      <c r="V9" s="72"/>
      <c r="W9" s="69">
        <f>-'User Inputs'!$E17*'Pax Capital'!W8</f>
        <v>205448.27586206899</v>
      </c>
      <c r="X9" s="69">
        <f>-'User Inputs'!$E17*'Pax Capital'!X8</f>
        <v>278449.48453608243</v>
      </c>
      <c r="Y9" s="69">
        <f>-'User Inputs'!$E17*'Pax Capital'!Y8</f>
        <v>459441.64948453609</v>
      </c>
      <c r="Z9" s="69">
        <f>-'User Inputs'!$E17*'Pax Capital'!Z8</f>
        <v>293846.93877551024</v>
      </c>
      <c r="AA9" s="69">
        <f>-'User Inputs'!$E17*'Pax Capital'!AA8</f>
        <v>703375</v>
      </c>
      <c r="AB9" s="69">
        <f>-'User Inputs'!$E17*'Pax Capital'!AB8</f>
        <v>422025</v>
      </c>
      <c r="AC9" s="69">
        <f>-'User Inputs'!$E17*'Pax Capital'!AC8</f>
        <v>1432081.6326530613</v>
      </c>
      <c r="AD9" s="69">
        <f>-'User Inputs'!$E17*'Pax Capital'!AD8</f>
        <v>1463155.1020408163</v>
      </c>
    </row>
    <row r="10" spans="1:30" x14ac:dyDescent="0.25">
      <c r="A10" s="68" t="s">
        <v>46</v>
      </c>
      <c r="B10" s="71" t="s">
        <v>145</v>
      </c>
      <c r="C10" s="69">
        <f>IF('User Inputs'!$B2="New Service",-'Vessel Data'!C33/4,0)</f>
        <v>-21060</v>
      </c>
      <c r="D10" s="69">
        <f>IF('User Inputs'!$B2="New Service",-'Vessel Data'!D33/4,0)</f>
        <v>-21060</v>
      </c>
      <c r="E10" s="69">
        <f>IF('User Inputs'!$B2="New Service",-'Vessel Data'!E33/4,0)</f>
        <v>-21060</v>
      </c>
      <c r="F10" s="69">
        <f>IF('User Inputs'!$B2="New Service",-'Vessel Data'!F33/4,0)</f>
        <v>-21060</v>
      </c>
      <c r="G10" s="69">
        <f>IF('User Inputs'!$B2="New Service",-'Vessel Data'!G33/4,0)</f>
        <v>-21060</v>
      </c>
      <c r="H10" s="69">
        <f>IF('User Inputs'!$B2="New Service",-'Vessel Data'!H33/4,0)</f>
        <v>-21060</v>
      </c>
      <c r="I10" s="69">
        <f>IF('User Inputs'!$B2="New Service",-'Vessel Data'!I33/4,0)</f>
        <v>-21060</v>
      </c>
      <c r="J10" s="69">
        <f>IF('User Inputs'!$B2="New Service",-'Vessel Data'!J33/4,0)</f>
        <v>-21060</v>
      </c>
      <c r="K10" s="68" t="s">
        <v>46</v>
      </c>
      <c r="L10" s="71"/>
      <c r="M10" s="69">
        <f>C10</f>
        <v>-21060</v>
      </c>
      <c r="N10" s="69">
        <f t="shared" ref="N10:T10" si="6">D10</f>
        <v>-21060</v>
      </c>
      <c r="O10" s="69">
        <f t="shared" si="6"/>
        <v>-21060</v>
      </c>
      <c r="P10" s="69">
        <f t="shared" si="6"/>
        <v>-21060</v>
      </c>
      <c r="Q10" s="69">
        <f t="shared" si="6"/>
        <v>-21060</v>
      </c>
      <c r="R10" s="69">
        <f t="shared" si="6"/>
        <v>-21060</v>
      </c>
      <c r="S10" s="69">
        <f t="shared" si="6"/>
        <v>-21060</v>
      </c>
      <c r="T10" s="69">
        <f t="shared" si="6"/>
        <v>-21060</v>
      </c>
      <c r="U10" s="68" t="s">
        <v>46</v>
      </c>
      <c r="V10" s="71"/>
      <c r="W10" s="69">
        <f>M10</f>
        <v>-21060</v>
      </c>
      <c r="X10" s="69">
        <f t="shared" ref="X10" si="7">N10</f>
        <v>-21060</v>
      </c>
      <c r="Y10" s="69">
        <f t="shared" ref="Y10" si="8">O10</f>
        <v>-21060</v>
      </c>
      <c r="Z10" s="69">
        <f t="shared" ref="Z10" si="9">P10</f>
        <v>-21060</v>
      </c>
      <c r="AA10" s="69">
        <f t="shared" ref="AA10" si="10">Q10</f>
        <v>-21060</v>
      </c>
      <c r="AB10" s="69">
        <f t="shared" ref="AB10" si="11">R10</f>
        <v>-21060</v>
      </c>
      <c r="AC10" s="69">
        <f t="shared" ref="AC10" si="12">S10</f>
        <v>-21060</v>
      </c>
      <c r="AD10" s="69">
        <f t="shared" ref="AD10" si="13">T10</f>
        <v>-21060</v>
      </c>
    </row>
    <row r="11" spans="1:30" ht="30" x14ac:dyDescent="0.25">
      <c r="A11" s="44" t="s">
        <v>47</v>
      </c>
      <c r="B11" s="95"/>
      <c r="C11" s="14">
        <f>C8+C$10+C$9</f>
        <v>-555225.51724137936</v>
      </c>
      <c r="D11" s="14">
        <f t="shared" ref="D11:J11" si="14">D8+D$10+D$9</f>
        <v>-763591.95876288658</v>
      </c>
      <c r="E11" s="14">
        <f t="shared" si="14"/>
        <v>-1107012.9896907215</v>
      </c>
      <c r="F11" s="14">
        <f t="shared" si="14"/>
        <v>-740985</v>
      </c>
      <c r="G11" s="14">
        <f t="shared" si="14"/>
        <v>-1638822.5</v>
      </c>
      <c r="H11" s="14">
        <f t="shared" si="14"/>
        <v>-1052676.6666666667</v>
      </c>
      <c r="I11" s="14">
        <f t="shared" si="14"/>
        <v>-3135837.5510204085</v>
      </c>
      <c r="J11" s="14">
        <f t="shared" si="14"/>
        <v>-3157859.1836734693</v>
      </c>
      <c r="K11" s="44" t="s">
        <v>47</v>
      </c>
      <c r="L11" s="95"/>
      <c r="M11" s="14">
        <f t="shared" ref="M11:S11" si="15">M8+M9+M10</f>
        <v>-267597.93103448278</v>
      </c>
      <c r="N11" s="14">
        <f t="shared" si="15"/>
        <v>-392325.97938144329</v>
      </c>
      <c r="O11" s="14">
        <f t="shared" si="15"/>
        <v>-355199.38144329895</v>
      </c>
      <c r="P11" s="14">
        <f t="shared" si="15"/>
        <v>-285522.24489795917</v>
      </c>
      <c r="Q11" s="14">
        <f t="shared" si="15"/>
        <v>-443085</v>
      </c>
      <c r="R11" s="14">
        <f t="shared" si="15"/>
        <v>-396193.33333333337</v>
      </c>
      <c r="S11" s="14">
        <f t="shared" si="15"/>
        <v>-522288.57142857148</v>
      </c>
      <c r="T11" s="14">
        <f>T8+T9+T10</f>
        <v>-442037.95918367349</v>
      </c>
      <c r="U11" s="44" t="s">
        <v>47</v>
      </c>
      <c r="V11" s="97"/>
      <c r="W11" s="14">
        <f>W8+W9+W10</f>
        <v>-842853.10344827594</v>
      </c>
      <c r="X11" s="14">
        <f t="shared" ref="X11:AC11" si="16">X8+X9+X10</f>
        <v>-1134857.9381443297</v>
      </c>
      <c r="Y11" s="14">
        <f t="shared" si="16"/>
        <v>-1858826.5979381441</v>
      </c>
      <c r="Z11" s="14">
        <f t="shared" si="16"/>
        <v>-1196447.7551020407</v>
      </c>
      <c r="AA11" s="14">
        <f t="shared" si="16"/>
        <v>-2834560</v>
      </c>
      <c r="AB11" s="14">
        <f t="shared" si="16"/>
        <v>-1709160</v>
      </c>
      <c r="AC11" s="14">
        <f t="shared" si="16"/>
        <v>-5749386.5306122452</v>
      </c>
      <c r="AD11" s="14">
        <f>AD8+AD9+AD10</f>
        <v>-5873680.4081632653</v>
      </c>
    </row>
    <row r="12" spans="1:30" x14ac:dyDescent="0.25">
      <c r="A12" s="106" t="s">
        <v>49</v>
      </c>
      <c r="B12" s="93"/>
      <c r="C12" s="14">
        <f>PMT('User Inputs'!$E$14/12,'User Inputs'!$E$13*12,C11)*12</f>
        <v>47733.696601359356</v>
      </c>
      <c r="D12" s="14">
        <f>PMT('User Inputs'!$E$14/12,'User Inputs'!$E$13*12,D11)*12</f>
        <v>65647.319431429205</v>
      </c>
      <c r="E12" s="14">
        <f>PMT('User Inputs'!$E$14/12,'User Inputs'!$E$13*12,E11)*12</f>
        <v>95171.818554384168</v>
      </c>
      <c r="F12" s="14">
        <f>PMT('User Inputs'!$E$14/12,'User Inputs'!$E$13*12,F11)*12</f>
        <v>63703.760143973152</v>
      </c>
      <c r="G12" s="14">
        <f>PMT('User Inputs'!$E$14/12,'User Inputs'!$E$13*12,G11)*12</f>
        <v>140892.40059993989</v>
      </c>
      <c r="H12" s="14">
        <f>PMT('User Inputs'!$E$14/12,'User Inputs'!$E$13*12,H11)*12</f>
        <v>90500.431024231948</v>
      </c>
      <c r="I12" s="14">
        <f>PMT('User Inputs'!$E$14/12,'User Inputs'!$E$13*12,I11)*12</f>
        <v>269593.36990717525</v>
      </c>
      <c r="J12" s="14">
        <f>PMT('User Inputs'!$E$14/12,'User Inputs'!$E$13*12,J11)*12</f>
        <v>271486.60769810132</v>
      </c>
      <c r="K12" s="43" t="s">
        <v>49</v>
      </c>
      <c r="L12" s="96"/>
      <c r="M12" s="14">
        <f>PMT('User Inputs'!$E$14/12,'User Inputs'!$E$13*12,'Pax Capital'!M11)*12</f>
        <v>23005.856277312174</v>
      </c>
      <c r="N12" s="14">
        <f>IF(N7="Not Valid"," ", PMT('User Inputs'!$E14/12,'User Inputs'!$E13*12,'Pax Capital'!N11)*12)</f>
        <v>33728.942001207608</v>
      </c>
      <c r="O12" s="14">
        <f>IF(O7="Not Valid"," ", PMT('User Inputs'!$E14/12,'User Inputs'!$E13*12,'Pax Capital'!O11)*12)</f>
        <v>30537.104258185449</v>
      </c>
      <c r="P12" s="14">
        <f>IF(P7="Not Valid"," ", PMT('User Inputs'!$E14/12,'User Inputs'!$E13*12,'Pax Capital'!P11)*12)</f>
        <v>24546.840495756802</v>
      </c>
      <c r="Q12" s="14">
        <f>IF(Q7="Not Valid"," ", PMT('User Inputs'!$E14/12,'User Inputs'!$E13*12,'Pax Capital'!Q11)*12)</f>
        <v>38092.782665495717</v>
      </c>
      <c r="R12" s="14">
        <f>IF(R7="Not Valid"," ", PMT('User Inputs'!$E14/12,'User Inputs'!$E13*12,'Pax Capital'!R11)*12)</f>
        <v>34061.42509943909</v>
      </c>
      <c r="S12" s="14">
        <f>IF(S7="Not Valid"," ", PMT('User Inputs'!$E14/12,'User Inputs'!$E13*12,'Pax Capital'!S11)*12)</f>
        <v>44902.050487154404</v>
      </c>
      <c r="T12" s="14">
        <f>IF(T7="Not Valid"," ", PMT('User Inputs'!$E14/12,'User Inputs'!$E13*12,'Pax Capital'!T11)*12)</f>
        <v>38002.76675825844</v>
      </c>
      <c r="U12" s="43" t="s">
        <v>49</v>
      </c>
      <c r="V12" s="97"/>
      <c r="W12" s="14">
        <f>PMT('User Inputs'!$E$14/12,'User Inputs'!$E$13*12,'Pax Capital'!W11)*12</f>
        <v>72461.53692540653</v>
      </c>
      <c r="X12" s="14">
        <f>PMT('User Inputs'!$E$14/12,'User Inputs'!$E$13*12,'Pax Capital'!X11)*12</f>
        <v>97565.69686165078</v>
      </c>
      <c r="Y12" s="14">
        <f>PMT('User Inputs'!$E$14/12,'User Inputs'!$E$13*12,'Pax Capital'!Y11)*12</f>
        <v>159806.53285058288</v>
      </c>
      <c r="Z12" s="14">
        <f>PMT('User Inputs'!$E$14/12,'User Inputs'!$E$13*12,'Pax Capital'!Z11)*12</f>
        <v>102860.67979218948</v>
      </c>
      <c r="AA12" s="14">
        <f>PMT('User Inputs'!$E$14/12,'User Inputs'!$E$13*12,'Pax Capital'!AA11)*12</f>
        <v>243692.01853438403</v>
      </c>
      <c r="AB12" s="14">
        <f>PMT('User Inputs'!$E$14/12,'User Inputs'!$E$13*12,'Pax Capital'!AB11)*12</f>
        <v>146939.43694902482</v>
      </c>
      <c r="AC12" s="14">
        <f>PMT('User Inputs'!$E$14/12,'User Inputs'!$E$13*12,'Pax Capital'!AC11)*12</f>
        <v>494284.6893271961</v>
      </c>
      <c r="AD12" s="14">
        <f>PMT('User Inputs'!$E$14/12,'User Inputs'!$E$13*12,'Pax Capital'!AD11)*12</f>
        <v>504970.44863794406</v>
      </c>
    </row>
    <row r="13" spans="1:30" ht="8.25" customHeight="1" x14ac:dyDescent="0.25">
      <c r="A13" s="102"/>
      <c r="B13" s="103"/>
      <c r="C13" s="104"/>
      <c r="D13" s="104"/>
      <c r="E13" s="104"/>
      <c r="F13" s="104"/>
      <c r="G13" s="104"/>
      <c r="H13" s="104"/>
      <c r="I13" s="104"/>
      <c r="J13" s="104"/>
      <c r="K13" s="43"/>
      <c r="L13" s="93"/>
      <c r="M13" s="35"/>
      <c r="N13" s="35"/>
      <c r="O13" s="35"/>
      <c r="P13" s="35"/>
      <c r="Q13" s="35"/>
      <c r="R13" s="35"/>
      <c r="S13" s="35"/>
      <c r="T13" s="35"/>
    </row>
    <row r="14" spans="1:30" s="9" customFormat="1" x14ac:dyDescent="0.25">
      <c r="A14" s="4" t="s">
        <v>43</v>
      </c>
      <c r="B14" s="93" t="s">
        <v>144</v>
      </c>
      <c r="C14" s="14">
        <f>C8*('User Inputs'!$E$11)</f>
        <v>-15357.258620689656</v>
      </c>
      <c r="D14" s="14">
        <f>'Pax Capital'!D8*('User Inputs'!$E$11)</f>
        <v>-21347.793814432989</v>
      </c>
      <c r="E14" s="14">
        <f>'Pax Capital'!E8*('User Inputs'!$E$11)</f>
        <v>-31221.148453608246</v>
      </c>
      <c r="F14" s="14">
        <f>'Pax Capital'!F8*('User Inputs'!$E$11)</f>
        <v>-20697.84375</v>
      </c>
      <c r="G14" s="14">
        <f>'Pax Capital'!G8*('User Inputs'!$E$11)</f>
        <v>-46510.671875</v>
      </c>
      <c r="H14" s="14">
        <f>'Pax Capital'!H8*('User Inputs'!$E$11)</f>
        <v>-29658.979166666672</v>
      </c>
      <c r="I14" s="14">
        <f>'Pax Capital'!I8*('User Inputs'!$E$11)</f>
        <v>-89549.854591836745</v>
      </c>
      <c r="J14" s="14">
        <f>'Pax Capital'!J8*('User Inputs'!$E$11)</f>
        <v>-90182.976530612243</v>
      </c>
      <c r="K14" s="4" t="s">
        <v>43</v>
      </c>
      <c r="L14" s="96"/>
      <c r="M14" s="14">
        <f>'Pax Capital'!M8*('User Inputs'!$E$11)</f>
        <v>-7087.9655172413795</v>
      </c>
      <c r="N14" s="14">
        <f>'Pax Capital'!N8*('User Inputs'!$E11)</f>
        <v>-10673.896907216495</v>
      </c>
      <c r="O14" s="14">
        <f>'Pax Capital'!O8*('User Inputs'!$E11)</f>
        <v>-9606.5072164948433</v>
      </c>
      <c r="P14" s="14">
        <f>'Pax Capital'!P8*('User Inputs'!$E11)</f>
        <v>-7603.2895408163258</v>
      </c>
      <c r="Q14" s="14">
        <f>'Pax Capital'!Q8*('User Inputs'!$E11)</f>
        <v>-12133.21875</v>
      </c>
      <c r="R14" s="14">
        <f>'Pax Capital'!R8*('User Inputs'!$E11)</f>
        <v>-10785.083333333334</v>
      </c>
      <c r="S14" s="14">
        <f>'Pax Capital'!S8*('User Inputs'!$E11)</f>
        <v>-14410.321428571429</v>
      </c>
      <c r="T14" s="14">
        <f>'Pax Capital'!T8*('User Inputs'!$E11)</f>
        <v>-12103.116326530611</v>
      </c>
      <c r="U14" s="4" t="s">
        <v>43</v>
      </c>
      <c r="V14" s="97"/>
      <c r="W14" s="14">
        <f>'Pax Capital'!W8*('User Inputs'!$E$11)</f>
        <v>-23626.551724137931</v>
      </c>
      <c r="X14" s="14">
        <f>'Pax Capital'!X8*('User Inputs'!$E$11)</f>
        <v>-32021.69072164948</v>
      </c>
      <c r="Y14" s="14">
        <f>'Pax Capital'!Y8*('User Inputs'!$E$11)</f>
        <v>-52835.789690721642</v>
      </c>
      <c r="Z14" s="14">
        <f>'Pax Capital'!Z8*('User Inputs'!$E$11)</f>
        <v>-33792.397959183676</v>
      </c>
      <c r="AA14" s="14">
        <f>'Pax Capital'!AA8*('User Inputs'!$E$11)</f>
        <v>-80888.125</v>
      </c>
      <c r="AB14" s="14">
        <f>'Pax Capital'!AB8*('User Inputs'!$E$11)</f>
        <v>-48532.875</v>
      </c>
      <c r="AC14" s="14">
        <f>'Pax Capital'!AC8*('User Inputs'!$E$11)</f>
        <v>-164689.38775510204</v>
      </c>
      <c r="AD14" s="14">
        <f>'Pax Capital'!AD8*('User Inputs'!$E$11)</f>
        <v>-168262.83673469388</v>
      </c>
    </row>
    <row r="15" spans="1:30" s="9" customFormat="1" x14ac:dyDescent="0.25">
      <c r="A15" s="426" t="s">
        <v>89</v>
      </c>
      <c r="B15" s="427"/>
      <c r="C15" s="31"/>
      <c r="D15" s="31"/>
      <c r="E15" s="31"/>
      <c r="F15" s="31"/>
      <c r="G15" s="31"/>
      <c r="H15" s="31"/>
      <c r="I15" s="31"/>
      <c r="J15" s="31"/>
      <c r="K15" s="113" t="s">
        <v>74</v>
      </c>
      <c r="L15" s="114"/>
      <c r="M15" s="31"/>
      <c r="N15" s="31"/>
      <c r="O15" s="35"/>
      <c r="P15" s="35"/>
      <c r="Q15" s="35"/>
      <c r="R15" s="35"/>
      <c r="S15" s="35"/>
      <c r="T15" s="36"/>
      <c r="U15" s="113" t="s">
        <v>74</v>
      </c>
      <c r="V15" s="114"/>
      <c r="W15" s="31"/>
      <c r="X15" s="31"/>
      <c r="Y15" s="35"/>
      <c r="Z15" s="35"/>
      <c r="AA15" s="35"/>
      <c r="AB15" s="35"/>
      <c r="AC15" s="35"/>
      <c r="AD15" s="36"/>
    </row>
    <row r="16" spans="1:30" x14ac:dyDescent="0.25">
      <c r="A16" s="4" t="s">
        <v>42</v>
      </c>
      <c r="B16" s="33">
        <v>0</v>
      </c>
      <c r="C16" s="14">
        <f>C9</f>
        <v>133541.37931034484</v>
      </c>
      <c r="D16" s="14">
        <f t="shared" ref="D16:J16" si="17">D9</f>
        <v>185632.98969072165</v>
      </c>
      <c r="E16" s="14">
        <f t="shared" si="17"/>
        <v>271488.24742268043</v>
      </c>
      <c r="F16" s="14">
        <f t="shared" si="17"/>
        <v>179981.25</v>
      </c>
      <c r="G16" s="14">
        <f t="shared" si="17"/>
        <v>404440.625</v>
      </c>
      <c r="H16" s="14">
        <f t="shared" si="17"/>
        <v>257904.16666666672</v>
      </c>
      <c r="I16" s="14">
        <f t="shared" si="17"/>
        <v>778694.38775510213</v>
      </c>
      <c r="J16" s="14">
        <f t="shared" si="17"/>
        <v>784199.79591836734</v>
      </c>
      <c r="K16" s="4" t="s">
        <v>42</v>
      </c>
      <c r="L16" s="33">
        <v>0</v>
      </c>
      <c r="M16" s="14">
        <f>M9</f>
        <v>61634.482758620696</v>
      </c>
      <c r="N16" s="14">
        <f t="shared" ref="N16:T16" si="18">N9</f>
        <v>92816.494845360823</v>
      </c>
      <c r="O16" s="14">
        <f t="shared" si="18"/>
        <v>83534.845360824736</v>
      </c>
      <c r="P16" s="14">
        <f t="shared" si="18"/>
        <v>66115.561224489793</v>
      </c>
      <c r="Q16" s="14">
        <f t="shared" si="18"/>
        <v>105506.25</v>
      </c>
      <c r="R16" s="14">
        <f t="shared" si="18"/>
        <v>93783.333333333343</v>
      </c>
      <c r="S16" s="14">
        <f t="shared" si="18"/>
        <v>125307.14285714287</v>
      </c>
      <c r="T16" s="14">
        <f t="shared" si="18"/>
        <v>105244.48979591837</v>
      </c>
      <c r="U16" s="4" t="s">
        <v>42</v>
      </c>
      <c r="V16" s="33">
        <v>0</v>
      </c>
      <c r="W16" s="14">
        <f>W9</f>
        <v>205448.27586206899</v>
      </c>
      <c r="X16" s="14">
        <f t="shared" ref="X16:AD16" si="19">X9</f>
        <v>278449.48453608243</v>
      </c>
      <c r="Y16" s="14">
        <f t="shared" si="19"/>
        <v>459441.64948453609</v>
      </c>
      <c r="Z16" s="14">
        <f t="shared" si="19"/>
        <v>293846.93877551024</v>
      </c>
      <c r="AA16" s="14">
        <f t="shared" si="19"/>
        <v>703375</v>
      </c>
      <c r="AB16" s="14">
        <f t="shared" si="19"/>
        <v>422025</v>
      </c>
      <c r="AC16" s="14">
        <f t="shared" si="19"/>
        <v>1432081.6326530613</v>
      </c>
      <c r="AD16" s="14">
        <f t="shared" si="19"/>
        <v>1463155.1020408163</v>
      </c>
    </row>
    <row r="17" spans="1:30" ht="15" customHeight="1" x14ac:dyDescent="0.25">
      <c r="A17" s="4" t="s">
        <v>42</v>
      </c>
      <c r="B17" s="33">
        <v>1</v>
      </c>
      <c r="C17" s="14">
        <f>IF('User Inputs'!$E$13&gt;='Pax Capital'!$B17,C$12,0)</f>
        <v>47733.696601359356</v>
      </c>
      <c r="D17" s="14">
        <f>IF('User Inputs'!$E$13&gt;='Pax Capital'!$B17,D$12,0)</f>
        <v>65647.319431429205</v>
      </c>
      <c r="E17" s="14">
        <f>IF('User Inputs'!$E$13&gt;='Pax Capital'!$B17,E$12,0)</f>
        <v>95171.818554384168</v>
      </c>
      <c r="F17" s="14">
        <f>IF('User Inputs'!$E$13&gt;='Pax Capital'!$B17,F$12,0)</f>
        <v>63703.760143973152</v>
      </c>
      <c r="G17" s="14">
        <f>IF('User Inputs'!$E$13&gt;='Pax Capital'!$B17,G$12,0)</f>
        <v>140892.40059993989</v>
      </c>
      <c r="H17" s="14">
        <f>IF('User Inputs'!$E$13&gt;='Pax Capital'!$B17,H$12,0)</f>
        <v>90500.431024231948</v>
      </c>
      <c r="I17" s="14">
        <f>IF('User Inputs'!$E$13&gt;='Pax Capital'!$B17,I$12,0)</f>
        <v>269593.36990717525</v>
      </c>
      <c r="J17" s="14">
        <f>IF('User Inputs'!$E$13&gt;='Pax Capital'!$B17,J$12,0)</f>
        <v>271486.60769810132</v>
      </c>
      <c r="K17" s="4" t="s">
        <v>42</v>
      </c>
      <c r="L17" s="33">
        <v>1</v>
      </c>
      <c r="M17" s="14">
        <f>IF('User Inputs'!$E$13&gt;='Pax Capital'!$B17,M$12,0)</f>
        <v>23005.856277312174</v>
      </c>
      <c r="N17" s="14">
        <f>IF('User Inputs'!$E$13&gt;='Pax Capital'!$B17,N$12,0)</f>
        <v>33728.942001207608</v>
      </c>
      <c r="O17" s="14">
        <f>IF('User Inputs'!$E$13&gt;='Pax Capital'!$B17,O$12,0)</f>
        <v>30537.104258185449</v>
      </c>
      <c r="P17" s="14">
        <f>IF('User Inputs'!$E$13&gt;='Pax Capital'!$B17,P$12,0)</f>
        <v>24546.840495756802</v>
      </c>
      <c r="Q17" s="14">
        <f>IF('User Inputs'!$E$13&gt;='Pax Capital'!$B17,Q$12,0)</f>
        <v>38092.782665495717</v>
      </c>
      <c r="R17" s="14">
        <f>IF('User Inputs'!$E$13&gt;='Pax Capital'!$B17,R$12,0)</f>
        <v>34061.42509943909</v>
      </c>
      <c r="S17" s="14">
        <f>IF('User Inputs'!$E$13&gt;='Pax Capital'!$B17,S$12,0)</f>
        <v>44902.050487154404</v>
      </c>
      <c r="T17" s="14">
        <f>IF('User Inputs'!$E$13&gt;='Pax Capital'!$B17,T$12,0)</f>
        <v>38002.76675825844</v>
      </c>
      <c r="U17" s="4" t="s">
        <v>42</v>
      </c>
      <c r="V17" s="33">
        <v>1</v>
      </c>
      <c r="W17" s="14">
        <f>IF('User Inputs'!$E$13&gt;='Pax Capital'!$B17,W$12,0)</f>
        <v>72461.53692540653</v>
      </c>
      <c r="X17" s="14">
        <f>IF('User Inputs'!$E$13&gt;='Pax Capital'!$B17,X$12,0)</f>
        <v>97565.69686165078</v>
      </c>
      <c r="Y17" s="14">
        <f>IF('User Inputs'!$E$13&gt;='Pax Capital'!$B17,Y$12,0)</f>
        <v>159806.53285058288</v>
      </c>
      <c r="Z17" s="14">
        <f>IF('User Inputs'!$E$13&gt;='Pax Capital'!$B17,Z$12,0)</f>
        <v>102860.67979218948</v>
      </c>
      <c r="AA17" s="14">
        <f>IF('User Inputs'!$E$13&gt;='Pax Capital'!$B17,AA$12,0)</f>
        <v>243692.01853438403</v>
      </c>
      <c r="AB17" s="14">
        <f>IF('User Inputs'!$E$13&gt;='Pax Capital'!$B17,AB$12,0)</f>
        <v>146939.43694902482</v>
      </c>
      <c r="AC17" s="14">
        <f>IF('User Inputs'!$E$13&gt;='Pax Capital'!$B17,AC$12,0)</f>
        <v>494284.6893271961</v>
      </c>
      <c r="AD17" s="14">
        <f>IF('User Inputs'!$E$13&gt;='Pax Capital'!$B17,AD$12,0)</f>
        <v>504970.44863794406</v>
      </c>
    </row>
    <row r="18" spans="1:30" x14ac:dyDescent="0.25">
      <c r="A18" s="4" t="s">
        <v>42</v>
      </c>
      <c r="B18" s="33">
        <v>2</v>
      </c>
      <c r="C18" s="14">
        <f>IF('User Inputs'!$E$13&gt;='Pax Capital'!$B18,C$12,0)</f>
        <v>47733.696601359356</v>
      </c>
      <c r="D18" s="14">
        <f>IF('User Inputs'!$E$13&gt;='Pax Capital'!$B18,D$12,0)</f>
        <v>65647.319431429205</v>
      </c>
      <c r="E18" s="14">
        <f>IF('User Inputs'!$E$13&gt;='Pax Capital'!$B18,E$12,0)</f>
        <v>95171.818554384168</v>
      </c>
      <c r="F18" s="14">
        <f>IF('User Inputs'!$E$13&gt;='Pax Capital'!$B18,F$12,0)</f>
        <v>63703.760143973152</v>
      </c>
      <c r="G18" s="14">
        <f>IF('User Inputs'!$E$13&gt;='Pax Capital'!$B18,G$12,0)</f>
        <v>140892.40059993989</v>
      </c>
      <c r="H18" s="14">
        <f>IF('User Inputs'!$E$13&gt;='Pax Capital'!$B18,H$12,0)</f>
        <v>90500.431024231948</v>
      </c>
      <c r="I18" s="14">
        <f>IF('User Inputs'!$E$13&gt;='Pax Capital'!$B18,I$12,0)</f>
        <v>269593.36990717525</v>
      </c>
      <c r="J18" s="14">
        <f>IF('User Inputs'!$E$13&gt;='Pax Capital'!$B18,J$12,0)</f>
        <v>271486.60769810132</v>
      </c>
      <c r="K18" s="4" t="s">
        <v>42</v>
      </c>
      <c r="L18" s="33">
        <v>2</v>
      </c>
      <c r="M18" s="14">
        <f>IF('User Inputs'!$E$13&gt;='Pax Capital'!$B18,M$12,0)</f>
        <v>23005.856277312174</v>
      </c>
      <c r="N18" s="14">
        <f>IF('User Inputs'!$E$13&gt;='Pax Capital'!$B18,N$12,0)</f>
        <v>33728.942001207608</v>
      </c>
      <c r="O18" s="14">
        <f>IF('User Inputs'!$E$13&gt;='Pax Capital'!$B18,O$12,0)</f>
        <v>30537.104258185449</v>
      </c>
      <c r="P18" s="14">
        <f>IF('User Inputs'!$E$13&gt;='Pax Capital'!$B18,P$12,0)</f>
        <v>24546.840495756802</v>
      </c>
      <c r="Q18" s="14">
        <f>IF('User Inputs'!$E$13&gt;='Pax Capital'!$B18,Q$12,0)</f>
        <v>38092.782665495717</v>
      </c>
      <c r="R18" s="14">
        <f>IF('User Inputs'!$E$13&gt;='Pax Capital'!$B18,R$12,0)</f>
        <v>34061.42509943909</v>
      </c>
      <c r="S18" s="14">
        <f>IF('User Inputs'!$E$13&gt;='Pax Capital'!$B18,S$12,0)</f>
        <v>44902.050487154404</v>
      </c>
      <c r="T18" s="14">
        <f>IF('User Inputs'!$E$13&gt;='Pax Capital'!$B18,T$12,0)</f>
        <v>38002.76675825844</v>
      </c>
      <c r="U18" s="4" t="s">
        <v>42</v>
      </c>
      <c r="V18" s="33">
        <v>2</v>
      </c>
      <c r="W18" s="14">
        <f>IF('User Inputs'!$E$13&gt;='Pax Capital'!$B18,W$12,0)</f>
        <v>72461.53692540653</v>
      </c>
      <c r="X18" s="14">
        <f>IF('User Inputs'!$E$13&gt;='Pax Capital'!$B18,X$12,0)</f>
        <v>97565.69686165078</v>
      </c>
      <c r="Y18" s="14">
        <f>IF('User Inputs'!$E$13&gt;='Pax Capital'!$B18,Y$12,0)</f>
        <v>159806.53285058288</v>
      </c>
      <c r="Z18" s="14">
        <f>IF('User Inputs'!$E$13&gt;='Pax Capital'!$B18,Z$12,0)</f>
        <v>102860.67979218948</v>
      </c>
      <c r="AA18" s="14">
        <f>IF('User Inputs'!$E$13&gt;='Pax Capital'!$B18,AA$12,0)</f>
        <v>243692.01853438403</v>
      </c>
      <c r="AB18" s="14">
        <f>IF('User Inputs'!$E$13&gt;='Pax Capital'!$B18,AB$12,0)</f>
        <v>146939.43694902482</v>
      </c>
      <c r="AC18" s="14">
        <f>IF('User Inputs'!$E$13&gt;='Pax Capital'!$B18,AC$12,0)</f>
        <v>494284.6893271961</v>
      </c>
      <c r="AD18" s="14">
        <f>IF('User Inputs'!$E$13&gt;='Pax Capital'!$B18,AD$12,0)</f>
        <v>504970.44863794406</v>
      </c>
    </row>
    <row r="19" spans="1:30" s="9" customFormat="1" x14ac:dyDescent="0.25">
      <c r="A19" s="4" t="s">
        <v>42</v>
      </c>
      <c r="B19" s="33">
        <v>3</v>
      </c>
      <c r="C19" s="14">
        <f>IF('User Inputs'!$E$13&gt;='Pax Capital'!$B19,C$12,0)</f>
        <v>47733.696601359356</v>
      </c>
      <c r="D19" s="14">
        <f>IF('User Inputs'!$E$13&gt;='Pax Capital'!$B19,D$12,0)</f>
        <v>65647.319431429205</v>
      </c>
      <c r="E19" s="14">
        <f>IF('User Inputs'!$E$13&gt;='Pax Capital'!$B19,E$12,0)</f>
        <v>95171.818554384168</v>
      </c>
      <c r="F19" s="14">
        <f>IF('User Inputs'!$E$13&gt;='Pax Capital'!$B19,F$12,0)</f>
        <v>63703.760143973152</v>
      </c>
      <c r="G19" s="14">
        <f>IF('User Inputs'!$E$13&gt;='Pax Capital'!$B19,G$12,0)</f>
        <v>140892.40059993989</v>
      </c>
      <c r="H19" s="14">
        <f>IF('User Inputs'!$E$13&gt;='Pax Capital'!$B19,H$12,0)</f>
        <v>90500.431024231948</v>
      </c>
      <c r="I19" s="14">
        <f>IF('User Inputs'!$E$13&gt;='Pax Capital'!$B19,I$12,0)</f>
        <v>269593.36990717525</v>
      </c>
      <c r="J19" s="14">
        <f>IF('User Inputs'!$E$13&gt;='Pax Capital'!$B19,J$12,0)</f>
        <v>271486.60769810132</v>
      </c>
      <c r="K19" s="4" t="s">
        <v>42</v>
      </c>
      <c r="L19" s="33">
        <v>3</v>
      </c>
      <c r="M19" s="14">
        <f>IF('User Inputs'!$E$13&gt;='Pax Capital'!$B19,M$12,0)</f>
        <v>23005.856277312174</v>
      </c>
      <c r="N19" s="14">
        <f>IF('User Inputs'!$E$13&gt;='Pax Capital'!$B19,N$12,0)</f>
        <v>33728.942001207608</v>
      </c>
      <c r="O19" s="14">
        <f>IF('User Inputs'!$E$13&gt;='Pax Capital'!$B19,O$12,0)</f>
        <v>30537.104258185449</v>
      </c>
      <c r="P19" s="14">
        <f>IF('User Inputs'!$E$13&gt;='Pax Capital'!$B19,P$12,0)</f>
        <v>24546.840495756802</v>
      </c>
      <c r="Q19" s="14">
        <f>IF('User Inputs'!$E$13&gt;='Pax Capital'!$B19,Q$12,0)</f>
        <v>38092.782665495717</v>
      </c>
      <c r="R19" s="14">
        <f>IF('User Inputs'!$E$13&gt;='Pax Capital'!$B19,R$12,0)</f>
        <v>34061.42509943909</v>
      </c>
      <c r="S19" s="14">
        <f>IF('User Inputs'!$E$13&gt;='Pax Capital'!$B19,S$12,0)</f>
        <v>44902.050487154404</v>
      </c>
      <c r="T19" s="14">
        <f>IF('User Inputs'!$E$13&gt;='Pax Capital'!$B19,T$12,0)</f>
        <v>38002.76675825844</v>
      </c>
      <c r="U19" s="4" t="s">
        <v>42</v>
      </c>
      <c r="V19" s="33">
        <v>3</v>
      </c>
      <c r="W19" s="14">
        <f>IF('User Inputs'!$E$13&gt;='Pax Capital'!$B19,W$12,0)</f>
        <v>72461.53692540653</v>
      </c>
      <c r="X19" s="14">
        <f>IF('User Inputs'!$E$13&gt;='Pax Capital'!$B19,X$12,0)</f>
        <v>97565.69686165078</v>
      </c>
      <c r="Y19" s="14">
        <f>IF('User Inputs'!$E$13&gt;='Pax Capital'!$B19,Y$12,0)</f>
        <v>159806.53285058288</v>
      </c>
      <c r="Z19" s="14">
        <f>IF('User Inputs'!$E$13&gt;='Pax Capital'!$B19,Z$12,0)</f>
        <v>102860.67979218948</v>
      </c>
      <c r="AA19" s="14">
        <f>IF('User Inputs'!$E$13&gt;='Pax Capital'!$B19,AA$12,0)</f>
        <v>243692.01853438403</v>
      </c>
      <c r="AB19" s="14">
        <f>IF('User Inputs'!$E$13&gt;='Pax Capital'!$B19,AB$12,0)</f>
        <v>146939.43694902482</v>
      </c>
      <c r="AC19" s="14">
        <f>IF('User Inputs'!$E$13&gt;='Pax Capital'!$B19,AC$12,0)</f>
        <v>494284.6893271961</v>
      </c>
      <c r="AD19" s="14">
        <f>IF('User Inputs'!$E$13&gt;='Pax Capital'!$B19,AD$12,0)</f>
        <v>504970.44863794406</v>
      </c>
    </row>
    <row r="20" spans="1:30" x14ac:dyDescent="0.25">
      <c r="A20" s="4" t="s">
        <v>42</v>
      </c>
      <c r="B20" s="33">
        <v>4</v>
      </c>
      <c r="C20" s="14">
        <f>IF('User Inputs'!$E$13&gt;='Pax Capital'!$B20,C$12,0)</f>
        <v>47733.696601359356</v>
      </c>
      <c r="D20" s="14">
        <f>IF('User Inputs'!$E$13&gt;='Pax Capital'!$B20,D$12,0)</f>
        <v>65647.319431429205</v>
      </c>
      <c r="E20" s="14">
        <f>IF('User Inputs'!$E$13&gt;='Pax Capital'!$B20,E$12,0)</f>
        <v>95171.818554384168</v>
      </c>
      <c r="F20" s="14">
        <f>IF('User Inputs'!$E$13&gt;='Pax Capital'!$B20,F$12,0)</f>
        <v>63703.760143973152</v>
      </c>
      <c r="G20" s="14">
        <f>IF('User Inputs'!$E$13&gt;='Pax Capital'!$B20,G$12,0)</f>
        <v>140892.40059993989</v>
      </c>
      <c r="H20" s="14">
        <f>IF('User Inputs'!$E$13&gt;='Pax Capital'!$B20,H$12,0)</f>
        <v>90500.431024231948</v>
      </c>
      <c r="I20" s="14">
        <f>IF('User Inputs'!$E$13&gt;='Pax Capital'!$B20,I$12,0)</f>
        <v>269593.36990717525</v>
      </c>
      <c r="J20" s="14">
        <f>IF('User Inputs'!$E$13&gt;='Pax Capital'!$B20,J$12,0)</f>
        <v>271486.60769810132</v>
      </c>
      <c r="K20" s="4" t="s">
        <v>42</v>
      </c>
      <c r="L20" s="33">
        <v>4</v>
      </c>
      <c r="M20" s="14">
        <f>IF('User Inputs'!$E$13&gt;='Pax Capital'!$B20,M$12,0)</f>
        <v>23005.856277312174</v>
      </c>
      <c r="N20" s="14">
        <f>IF('User Inputs'!$E$13&gt;='Pax Capital'!$B20,N$12,0)</f>
        <v>33728.942001207608</v>
      </c>
      <c r="O20" s="14">
        <f>IF('User Inputs'!$E$13&gt;='Pax Capital'!$B20,O$12,0)</f>
        <v>30537.104258185449</v>
      </c>
      <c r="P20" s="14">
        <f>IF('User Inputs'!$E$13&gt;='Pax Capital'!$B20,P$12,0)</f>
        <v>24546.840495756802</v>
      </c>
      <c r="Q20" s="14">
        <f>IF('User Inputs'!$E$13&gt;='Pax Capital'!$B20,Q$12,0)</f>
        <v>38092.782665495717</v>
      </c>
      <c r="R20" s="14">
        <f>IF('User Inputs'!$E$13&gt;='Pax Capital'!$B20,R$12,0)</f>
        <v>34061.42509943909</v>
      </c>
      <c r="S20" s="14">
        <f>IF('User Inputs'!$E$13&gt;='Pax Capital'!$B20,S$12,0)</f>
        <v>44902.050487154404</v>
      </c>
      <c r="T20" s="14">
        <f>IF('User Inputs'!$E$13&gt;='Pax Capital'!$B20,T$12,0)</f>
        <v>38002.76675825844</v>
      </c>
      <c r="U20" s="4" t="s">
        <v>42</v>
      </c>
      <c r="V20" s="33">
        <v>4</v>
      </c>
      <c r="W20" s="14">
        <f>IF('User Inputs'!$E$13&gt;='Pax Capital'!$B20,W$12,0)</f>
        <v>72461.53692540653</v>
      </c>
      <c r="X20" s="14">
        <f>IF('User Inputs'!$E$13&gt;='Pax Capital'!$B20,X$12,0)</f>
        <v>97565.69686165078</v>
      </c>
      <c r="Y20" s="14">
        <f>IF('User Inputs'!$E$13&gt;='Pax Capital'!$B20,Y$12,0)</f>
        <v>159806.53285058288</v>
      </c>
      <c r="Z20" s="14">
        <f>IF('User Inputs'!$E$13&gt;='Pax Capital'!$B20,Z$12,0)</f>
        <v>102860.67979218948</v>
      </c>
      <c r="AA20" s="14">
        <f>IF('User Inputs'!$E$13&gt;='Pax Capital'!$B20,AA$12,0)</f>
        <v>243692.01853438403</v>
      </c>
      <c r="AB20" s="14">
        <f>IF('User Inputs'!$E$13&gt;='Pax Capital'!$B20,AB$12,0)</f>
        <v>146939.43694902482</v>
      </c>
      <c r="AC20" s="14">
        <f>IF('User Inputs'!$E$13&gt;='Pax Capital'!$B20,AC$12,0)</f>
        <v>494284.6893271961</v>
      </c>
      <c r="AD20" s="14">
        <f>IF('User Inputs'!$E$13&gt;='Pax Capital'!$B20,AD$12,0)</f>
        <v>504970.44863794406</v>
      </c>
    </row>
    <row r="21" spans="1:30" s="9" customFormat="1" x14ac:dyDescent="0.25">
      <c r="A21" s="4" t="s">
        <v>42</v>
      </c>
      <c r="B21" s="33">
        <v>5</v>
      </c>
      <c r="C21" s="14">
        <f>IF('User Inputs'!$E$13&gt;='Pax Capital'!$B21,C$12,0)</f>
        <v>47733.696601359356</v>
      </c>
      <c r="D21" s="14">
        <f>IF('User Inputs'!$E$13&gt;='Pax Capital'!$B21,D$12,0)</f>
        <v>65647.319431429205</v>
      </c>
      <c r="E21" s="14">
        <f>IF('User Inputs'!$E$13&gt;='Pax Capital'!$B21,E$12,0)</f>
        <v>95171.818554384168</v>
      </c>
      <c r="F21" s="14">
        <f>IF('User Inputs'!$E$13&gt;='Pax Capital'!$B21,F$12,0)</f>
        <v>63703.760143973152</v>
      </c>
      <c r="G21" s="14">
        <f>IF('User Inputs'!$E$13&gt;='Pax Capital'!$B21,G$12,0)</f>
        <v>140892.40059993989</v>
      </c>
      <c r="H21" s="14">
        <f>IF('User Inputs'!$E$13&gt;='Pax Capital'!$B21,H$12,0)</f>
        <v>90500.431024231948</v>
      </c>
      <c r="I21" s="14">
        <f>IF('User Inputs'!$E$13&gt;='Pax Capital'!$B21,I$12,0)</f>
        <v>269593.36990717525</v>
      </c>
      <c r="J21" s="14">
        <f>IF('User Inputs'!$E$13&gt;='Pax Capital'!$B21,J$12,0)</f>
        <v>271486.60769810132</v>
      </c>
      <c r="K21" s="4" t="s">
        <v>42</v>
      </c>
      <c r="L21" s="33">
        <v>5</v>
      </c>
      <c r="M21" s="14">
        <f>IF('User Inputs'!$E$13&gt;='Pax Capital'!$B21,M$12,0)</f>
        <v>23005.856277312174</v>
      </c>
      <c r="N21" s="14">
        <f>IF('User Inputs'!$E$13&gt;='Pax Capital'!$B21,N$12,0)</f>
        <v>33728.942001207608</v>
      </c>
      <c r="O21" s="14">
        <f>IF('User Inputs'!$E$13&gt;='Pax Capital'!$B21,O$12,0)</f>
        <v>30537.104258185449</v>
      </c>
      <c r="P21" s="14">
        <f>IF('User Inputs'!$E$13&gt;='Pax Capital'!$B21,P$12,0)</f>
        <v>24546.840495756802</v>
      </c>
      <c r="Q21" s="14">
        <f>IF('User Inputs'!$E$13&gt;='Pax Capital'!$B21,Q$12,0)</f>
        <v>38092.782665495717</v>
      </c>
      <c r="R21" s="14">
        <f>IF('User Inputs'!$E$13&gt;='Pax Capital'!$B21,R$12,0)</f>
        <v>34061.42509943909</v>
      </c>
      <c r="S21" s="14">
        <f>IF('User Inputs'!$E$13&gt;='Pax Capital'!$B21,S$12,0)</f>
        <v>44902.050487154404</v>
      </c>
      <c r="T21" s="14">
        <f>IF('User Inputs'!$E$13&gt;='Pax Capital'!$B21,T$12,0)</f>
        <v>38002.76675825844</v>
      </c>
      <c r="U21" s="4" t="s">
        <v>42</v>
      </c>
      <c r="V21" s="33">
        <v>5</v>
      </c>
      <c r="W21" s="14">
        <f>IF('User Inputs'!$E$13&gt;='Pax Capital'!$B21,W$12,0)</f>
        <v>72461.53692540653</v>
      </c>
      <c r="X21" s="14">
        <f>IF('User Inputs'!$E$13&gt;='Pax Capital'!$B21,X$12,0)</f>
        <v>97565.69686165078</v>
      </c>
      <c r="Y21" s="14">
        <f>IF('User Inputs'!$E$13&gt;='Pax Capital'!$B21,Y$12,0)</f>
        <v>159806.53285058288</v>
      </c>
      <c r="Z21" s="14">
        <f>IF('User Inputs'!$E$13&gt;='Pax Capital'!$B21,Z$12,0)</f>
        <v>102860.67979218948</v>
      </c>
      <c r="AA21" s="14">
        <f>IF('User Inputs'!$E$13&gt;='Pax Capital'!$B21,AA$12,0)</f>
        <v>243692.01853438403</v>
      </c>
      <c r="AB21" s="14">
        <f>IF('User Inputs'!$E$13&gt;='Pax Capital'!$B21,AB$12,0)</f>
        <v>146939.43694902482</v>
      </c>
      <c r="AC21" s="14">
        <f>IF('User Inputs'!$E$13&gt;='Pax Capital'!$B21,AC$12,0)</f>
        <v>494284.6893271961</v>
      </c>
      <c r="AD21" s="14">
        <f>IF('User Inputs'!$E$13&gt;='Pax Capital'!$B21,AD$12,0)</f>
        <v>504970.44863794406</v>
      </c>
    </row>
    <row r="22" spans="1:30" ht="15" customHeight="1" x14ac:dyDescent="0.25">
      <c r="A22" s="4" t="s">
        <v>42</v>
      </c>
      <c r="B22" s="33">
        <v>6</v>
      </c>
      <c r="C22" s="14">
        <f>IF('User Inputs'!$E$13&gt;='Pax Capital'!$B22,C$12,0)</f>
        <v>47733.696601359356</v>
      </c>
      <c r="D22" s="14">
        <f>IF('User Inputs'!$E$13&gt;='Pax Capital'!$B22,D$12,0)</f>
        <v>65647.319431429205</v>
      </c>
      <c r="E22" s="14">
        <f>IF('User Inputs'!$E$13&gt;='Pax Capital'!$B22,E$12,0)</f>
        <v>95171.818554384168</v>
      </c>
      <c r="F22" s="14">
        <f>IF('User Inputs'!$E$13&gt;='Pax Capital'!$B22,F$12,0)</f>
        <v>63703.760143973152</v>
      </c>
      <c r="G22" s="14">
        <f>IF('User Inputs'!$E$13&gt;='Pax Capital'!$B22,G$12,0)</f>
        <v>140892.40059993989</v>
      </c>
      <c r="H22" s="14">
        <f>IF('User Inputs'!$E$13&gt;='Pax Capital'!$B22,H$12,0)</f>
        <v>90500.431024231948</v>
      </c>
      <c r="I22" s="14">
        <f>IF('User Inputs'!$E$13&gt;='Pax Capital'!$B22,I$12,0)</f>
        <v>269593.36990717525</v>
      </c>
      <c r="J22" s="14">
        <f>IF('User Inputs'!$E$13&gt;='Pax Capital'!$B22,J$12,0)</f>
        <v>271486.60769810132</v>
      </c>
      <c r="K22" s="4" t="s">
        <v>42</v>
      </c>
      <c r="L22" s="33">
        <v>6</v>
      </c>
      <c r="M22" s="14">
        <f>IF('User Inputs'!$E$13&gt;='Pax Capital'!$B22,M$12,0)</f>
        <v>23005.856277312174</v>
      </c>
      <c r="N22" s="14">
        <f>IF('User Inputs'!$E$13&gt;='Pax Capital'!$B22,N$12,0)</f>
        <v>33728.942001207608</v>
      </c>
      <c r="O22" s="14">
        <f>IF('User Inputs'!$E$13&gt;='Pax Capital'!$B22,O$12,0)</f>
        <v>30537.104258185449</v>
      </c>
      <c r="P22" s="14">
        <f>IF('User Inputs'!$E$13&gt;='Pax Capital'!$B22,P$12,0)</f>
        <v>24546.840495756802</v>
      </c>
      <c r="Q22" s="14">
        <f>IF('User Inputs'!$E$13&gt;='Pax Capital'!$B22,Q$12,0)</f>
        <v>38092.782665495717</v>
      </c>
      <c r="R22" s="14">
        <f>IF('User Inputs'!$E$13&gt;='Pax Capital'!$B22,R$12,0)</f>
        <v>34061.42509943909</v>
      </c>
      <c r="S22" s="14">
        <f>IF('User Inputs'!$E$13&gt;='Pax Capital'!$B22,S$12,0)</f>
        <v>44902.050487154404</v>
      </c>
      <c r="T22" s="14">
        <f>IF('User Inputs'!$E$13&gt;='Pax Capital'!$B22,T$12,0)</f>
        <v>38002.76675825844</v>
      </c>
      <c r="U22" s="4" t="s">
        <v>42</v>
      </c>
      <c r="V22" s="33">
        <v>6</v>
      </c>
      <c r="W22" s="14">
        <f>IF('User Inputs'!$E$13&gt;='Pax Capital'!$B22,W$12,0)</f>
        <v>72461.53692540653</v>
      </c>
      <c r="X22" s="14">
        <f>IF('User Inputs'!$E$13&gt;='Pax Capital'!$B22,X$12,0)</f>
        <v>97565.69686165078</v>
      </c>
      <c r="Y22" s="14">
        <f>IF('User Inputs'!$E$13&gt;='Pax Capital'!$B22,Y$12,0)</f>
        <v>159806.53285058288</v>
      </c>
      <c r="Z22" s="14">
        <f>IF('User Inputs'!$E$13&gt;='Pax Capital'!$B22,Z$12,0)</f>
        <v>102860.67979218948</v>
      </c>
      <c r="AA22" s="14">
        <f>IF('User Inputs'!$E$13&gt;='Pax Capital'!$B22,AA$12,0)</f>
        <v>243692.01853438403</v>
      </c>
      <c r="AB22" s="14">
        <f>IF('User Inputs'!$E$13&gt;='Pax Capital'!$B22,AB$12,0)</f>
        <v>146939.43694902482</v>
      </c>
      <c r="AC22" s="14">
        <f>IF('User Inputs'!$E$13&gt;='Pax Capital'!$B22,AC$12,0)</f>
        <v>494284.6893271961</v>
      </c>
      <c r="AD22" s="14">
        <f>IF('User Inputs'!$E$13&gt;='Pax Capital'!$B22,AD$12,0)</f>
        <v>504970.44863794406</v>
      </c>
    </row>
    <row r="23" spans="1:30" x14ac:dyDescent="0.25">
      <c r="A23" s="4" t="s">
        <v>42</v>
      </c>
      <c r="B23" s="33">
        <v>7</v>
      </c>
      <c r="C23" s="14">
        <f>IF('User Inputs'!$E$13&gt;='Pax Capital'!$B23,C$12,0)</f>
        <v>47733.696601359356</v>
      </c>
      <c r="D23" s="14">
        <f>IF('User Inputs'!$E$13&gt;='Pax Capital'!$B23,D$12,0)</f>
        <v>65647.319431429205</v>
      </c>
      <c r="E23" s="14">
        <f>IF('User Inputs'!$E$13&gt;='Pax Capital'!$B23,E$12,0)</f>
        <v>95171.818554384168</v>
      </c>
      <c r="F23" s="14">
        <f>IF('User Inputs'!$E$13&gt;='Pax Capital'!$B23,F$12,0)</f>
        <v>63703.760143973152</v>
      </c>
      <c r="G23" s="14">
        <f>IF('User Inputs'!$E$13&gt;='Pax Capital'!$B23,G$12,0)</f>
        <v>140892.40059993989</v>
      </c>
      <c r="H23" s="14">
        <f>IF('User Inputs'!$E$13&gt;='Pax Capital'!$B23,H$12,0)</f>
        <v>90500.431024231948</v>
      </c>
      <c r="I23" s="14">
        <f>IF('User Inputs'!$E$13&gt;='Pax Capital'!$B23,I$12,0)</f>
        <v>269593.36990717525</v>
      </c>
      <c r="J23" s="14">
        <f>IF('User Inputs'!$E$13&gt;='Pax Capital'!$B23,J$12,0)</f>
        <v>271486.60769810132</v>
      </c>
      <c r="K23" s="4" t="s">
        <v>42</v>
      </c>
      <c r="L23" s="33">
        <v>7</v>
      </c>
      <c r="M23" s="14">
        <f>IF('User Inputs'!$E$13&gt;='Pax Capital'!$B23,M$12,0)</f>
        <v>23005.856277312174</v>
      </c>
      <c r="N23" s="14">
        <f>IF('User Inputs'!$E$13&gt;='Pax Capital'!$B23,N$12,0)</f>
        <v>33728.942001207608</v>
      </c>
      <c r="O23" s="14">
        <f>IF('User Inputs'!$E$13&gt;='Pax Capital'!$B23,O$12,0)</f>
        <v>30537.104258185449</v>
      </c>
      <c r="P23" s="14">
        <f>IF('User Inputs'!$E$13&gt;='Pax Capital'!$B23,P$12,0)</f>
        <v>24546.840495756802</v>
      </c>
      <c r="Q23" s="14">
        <f>IF('User Inputs'!$E$13&gt;='Pax Capital'!$B23,Q$12,0)</f>
        <v>38092.782665495717</v>
      </c>
      <c r="R23" s="14">
        <f>IF('User Inputs'!$E$13&gt;='Pax Capital'!$B23,R$12,0)</f>
        <v>34061.42509943909</v>
      </c>
      <c r="S23" s="14">
        <f>IF('User Inputs'!$E$13&gt;='Pax Capital'!$B23,S$12,0)</f>
        <v>44902.050487154404</v>
      </c>
      <c r="T23" s="14">
        <f>IF('User Inputs'!$E$13&gt;='Pax Capital'!$B23,T$12,0)</f>
        <v>38002.76675825844</v>
      </c>
      <c r="U23" s="4" t="s">
        <v>42</v>
      </c>
      <c r="V23" s="33">
        <v>7</v>
      </c>
      <c r="W23" s="14">
        <f>IF('User Inputs'!$E$13&gt;='Pax Capital'!$B23,W$12,0)</f>
        <v>72461.53692540653</v>
      </c>
      <c r="X23" s="14">
        <f>IF('User Inputs'!$E$13&gt;='Pax Capital'!$B23,X$12,0)</f>
        <v>97565.69686165078</v>
      </c>
      <c r="Y23" s="14">
        <f>IF('User Inputs'!$E$13&gt;='Pax Capital'!$B23,Y$12,0)</f>
        <v>159806.53285058288</v>
      </c>
      <c r="Z23" s="14">
        <f>IF('User Inputs'!$E$13&gt;='Pax Capital'!$B23,Z$12,0)</f>
        <v>102860.67979218948</v>
      </c>
      <c r="AA23" s="14">
        <f>IF('User Inputs'!$E$13&gt;='Pax Capital'!$B23,AA$12,0)</f>
        <v>243692.01853438403</v>
      </c>
      <c r="AB23" s="14">
        <f>IF('User Inputs'!$E$13&gt;='Pax Capital'!$B23,AB$12,0)</f>
        <v>146939.43694902482</v>
      </c>
      <c r="AC23" s="14">
        <f>IF('User Inputs'!$E$13&gt;='Pax Capital'!$B23,AC$12,0)</f>
        <v>494284.6893271961</v>
      </c>
      <c r="AD23" s="14">
        <f>IF('User Inputs'!$E$13&gt;='Pax Capital'!$B23,AD$12,0)</f>
        <v>504970.44863794406</v>
      </c>
    </row>
    <row r="24" spans="1:30" x14ac:dyDescent="0.25">
      <c r="A24" s="4" t="s">
        <v>42</v>
      </c>
      <c r="B24" s="33">
        <v>8</v>
      </c>
      <c r="C24" s="14">
        <f>IF('User Inputs'!$E$13&gt;='Pax Capital'!$B24,C$12,0)</f>
        <v>47733.696601359356</v>
      </c>
      <c r="D24" s="14">
        <f>IF('User Inputs'!$E$13&gt;='Pax Capital'!$B24,D$12,0)</f>
        <v>65647.319431429205</v>
      </c>
      <c r="E24" s="14">
        <f>IF('User Inputs'!$E$13&gt;='Pax Capital'!$B24,E$12,0)</f>
        <v>95171.818554384168</v>
      </c>
      <c r="F24" s="14">
        <f>IF('User Inputs'!$E$13&gt;='Pax Capital'!$B24,F$12,0)</f>
        <v>63703.760143973152</v>
      </c>
      <c r="G24" s="14">
        <f>IF('User Inputs'!$E$13&gt;='Pax Capital'!$B24,G$12,0)</f>
        <v>140892.40059993989</v>
      </c>
      <c r="H24" s="14">
        <f>IF('User Inputs'!$E$13&gt;='Pax Capital'!$B24,H$12,0)</f>
        <v>90500.431024231948</v>
      </c>
      <c r="I24" s="14">
        <f>IF('User Inputs'!$E$13&gt;='Pax Capital'!$B24,I$12,0)</f>
        <v>269593.36990717525</v>
      </c>
      <c r="J24" s="14">
        <f>IF('User Inputs'!$E$13&gt;='Pax Capital'!$B24,J$12,0)</f>
        <v>271486.60769810132</v>
      </c>
      <c r="K24" s="4" t="s">
        <v>42</v>
      </c>
      <c r="L24" s="33">
        <v>8</v>
      </c>
      <c r="M24" s="14">
        <f>IF('User Inputs'!$E$13&gt;='Pax Capital'!$B24,M$12,0)</f>
        <v>23005.856277312174</v>
      </c>
      <c r="N24" s="14">
        <f>IF('User Inputs'!$E$13&gt;='Pax Capital'!$B24,N$12,0)</f>
        <v>33728.942001207608</v>
      </c>
      <c r="O24" s="14">
        <f>IF('User Inputs'!$E$13&gt;='Pax Capital'!$B24,O$12,0)</f>
        <v>30537.104258185449</v>
      </c>
      <c r="P24" s="14">
        <f>IF('User Inputs'!$E$13&gt;='Pax Capital'!$B24,P$12,0)</f>
        <v>24546.840495756802</v>
      </c>
      <c r="Q24" s="14">
        <f>IF('User Inputs'!$E$13&gt;='Pax Capital'!$B24,Q$12,0)</f>
        <v>38092.782665495717</v>
      </c>
      <c r="R24" s="14">
        <f>IF('User Inputs'!$E$13&gt;='Pax Capital'!$B24,R$12,0)</f>
        <v>34061.42509943909</v>
      </c>
      <c r="S24" s="14">
        <f>IF('User Inputs'!$E$13&gt;='Pax Capital'!$B24,S$12,0)</f>
        <v>44902.050487154404</v>
      </c>
      <c r="T24" s="14">
        <f>IF('User Inputs'!$E$13&gt;='Pax Capital'!$B24,T$12,0)</f>
        <v>38002.76675825844</v>
      </c>
      <c r="U24" s="4" t="s">
        <v>42</v>
      </c>
      <c r="V24" s="33">
        <v>8</v>
      </c>
      <c r="W24" s="14">
        <f>IF('User Inputs'!$E$13&gt;='Pax Capital'!$B24,W$12,0)</f>
        <v>72461.53692540653</v>
      </c>
      <c r="X24" s="14">
        <f>IF('User Inputs'!$E$13&gt;='Pax Capital'!$B24,X$12,0)</f>
        <v>97565.69686165078</v>
      </c>
      <c r="Y24" s="14">
        <f>IF('User Inputs'!$E$13&gt;='Pax Capital'!$B24,Y$12,0)</f>
        <v>159806.53285058288</v>
      </c>
      <c r="Z24" s="14">
        <f>IF('User Inputs'!$E$13&gt;='Pax Capital'!$B24,Z$12,0)</f>
        <v>102860.67979218948</v>
      </c>
      <c r="AA24" s="14">
        <f>IF('User Inputs'!$E$13&gt;='Pax Capital'!$B24,AA$12,0)</f>
        <v>243692.01853438403</v>
      </c>
      <c r="AB24" s="14">
        <f>IF('User Inputs'!$E$13&gt;='Pax Capital'!$B24,AB$12,0)</f>
        <v>146939.43694902482</v>
      </c>
      <c r="AC24" s="14">
        <f>IF('User Inputs'!$E$13&gt;='Pax Capital'!$B24,AC$12,0)</f>
        <v>494284.6893271961</v>
      </c>
      <c r="AD24" s="14">
        <f>IF('User Inputs'!$E$13&gt;='Pax Capital'!$B24,AD$12,0)</f>
        <v>504970.44863794406</v>
      </c>
    </row>
    <row r="25" spans="1:30" s="9" customFormat="1" x14ac:dyDescent="0.25">
      <c r="A25" s="4" t="s">
        <v>42</v>
      </c>
      <c r="B25" s="33">
        <v>9</v>
      </c>
      <c r="C25" s="14">
        <f>IF('User Inputs'!$E$13&gt;='Pax Capital'!$B25,C$12,0)</f>
        <v>47733.696601359356</v>
      </c>
      <c r="D25" s="14">
        <f>IF('User Inputs'!$E$13&gt;='Pax Capital'!$B25,D$12,0)</f>
        <v>65647.319431429205</v>
      </c>
      <c r="E25" s="14">
        <f>IF('User Inputs'!$E$13&gt;='Pax Capital'!$B25,E$12,0)</f>
        <v>95171.818554384168</v>
      </c>
      <c r="F25" s="14">
        <f>IF('User Inputs'!$E$13&gt;='Pax Capital'!$B25,F$12,0)</f>
        <v>63703.760143973152</v>
      </c>
      <c r="G25" s="14">
        <f>IF('User Inputs'!$E$13&gt;='Pax Capital'!$B25,G$12,0)</f>
        <v>140892.40059993989</v>
      </c>
      <c r="H25" s="14">
        <f>IF('User Inputs'!$E$13&gt;='Pax Capital'!$B25,H$12,0)</f>
        <v>90500.431024231948</v>
      </c>
      <c r="I25" s="14">
        <f>IF('User Inputs'!$E$13&gt;='Pax Capital'!$B25,I$12,0)</f>
        <v>269593.36990717525</v>
      </c>
      <c r="J25" s="14">
        <f>IF('User Inputs'!$E$13&gt;='Pax Capital'!$B25,J$12,0)</f>
        <v>271486.60769810132</v>
      </c>
      <c r="K25" s="4" t="s">
        <v>42</v>
      </c>
      <c r="L25" s="33">
        <v>9</v>
      </c>
      <c r="M25" s="14">
        <f>IF('User Inputs'!$E$13&gt;='Pax Capital'!$B25,M$12,0)</f>
        <v>23005.856277312174</v>
      </c>
      <c r="N25" s="14">
        <f>IF('User Inputs'!$E$13&gt;='Pax Capital'!$B25,N$12,0)</f>
        <v>33728.942001207608</v>
      </c>
      <c r="O25" s="14">
        <f>IF('User Inputs'!$E$13&gt;='Pax Capital'!$B25,O$12,0)</f>
        <v>30537.104258185449</v>
      </c>
      <c r="P25" s="14">
        <f>IF('User Inputs'!$E$13&gt;='Pax Capital'!$B25,P$12,0)</f>
        <v>24546.840495756802</v>
      </c>
      <c r="Q25" s="14">
        <f>IF('User Inputs'!$E$13&gt;='Pax Capital'!$B25,Q$12,0)</f>
        <v>38092.782665495717</v>
      </c>
      <c r="R25" s="14">
        <f>IF('User Inputs'!$E$13&gt;='Pax Capital'!$B25,R$12,0)</f>
        <v>34061.42509943909</v>
      </c>
      <c r="S25" s="14">
        <f>IF('User Inputs'!$E$13&gt;='Pax Capital'!$B25,S$12,0)</f>
        <v>44902.050487154404</v>
      </c>
      <c r="T25" s="14">
        <f>IF('User Inputs'!$E$13&gt;='Pax Capital'!$B25,T$12,0)</f>
        <v>38002.76675825844</v>
      </c>
      <c r="U25" s="4" t="s">
        <v>42</v>
      </c>
      <c r="V25" s="33">
        <v>9</v>
      </c>
      <c r="W25" s="14">
        <f>IF('User Inputs'!$E$13&gt;='Pax Capital'!$B25,W$12,0)</f>
        <v>72461.53692540653</v>
      </c>
      <c r="X25" s="14">
        <f>IF('User Inputs'!$E$13&gt;='Pax Capital'!$B25,X$12,0)</f>
        <v>97565.69686165078</v>
      </c>
      <c r="Y25" s="14">
        <f>IF('User Inputs'!$E$13&gt;='Pax Capital'!$B25,Y$12,0)</f>
        <v>159806.53285058288</v>
      </c>
      <c r="Z25" s="14">
        <f>IF('User Inputs'!$E$13&gt;='Pax Capital'!$B25,Z$12,0)</f>
        <v>102860.67979218948</v>
      </c>
      <c r="AA25" s="14">
        <f>IF('User Inputs'!$E$13&gt;='Pax Capital'!$B25,AA$12,0)</f>
        <v>243692.01853438403</v>
      </c>
      <c r="AB25" s="14">
        <f>IF('User Inputs'!$E$13&gt;='Pax Capital'!$B25,AB$12,0)</f>
        <v>146939.43694902482</v>
      </c>
      <c r="AC25" s="14">
        <f>IF('User Inputs'!$E$13&gt;='Pax Capital'!$B25,AC$12,0)</f>
        <v>494284.6893271961</v>
      </c>
      <c r="AD25" s="14">
        <f>IF('User Inputs'!$E$13&gt;='Pax Capital'!$B25,AD$12,0)</f>
        <v>504970.44863794406</v>
      </c>
    </row>
    <row r="26" spans="1:30" ht="17.25" customHeight="1" x14ac:dyDescent="0.25">
      <c r="A26" s="4" t="s">
        <v>42</v>
      </c>
      <c r="B26" s="33">
        <v>10</v>
      </c>
      <c r="C26" s="14">
        <f>IF('User Inputs'!$E$13&gt;='Pax Capital'!$B26,C$12,0)</f>
        <v>47733.696601359356</v>
      </c>
      <c r="D26" s="14">
        <f>IF('User Inputs'!$E$13&gt;='Pax Capital'!$B26,D$12,0)</f>
        <v>65647.319431429205</v>
      </c>
      <c r="E26" s="14">
        <f>IF('User Inputs'!$E$13&gt;='Pax Capital'!$B26,E$12,0)</f>
        <v>95171.818554384168</v>
      </c>
      <c r="F26" s="14">
        <f>IF('User Inputs'!$E$13&gt;='Pax Capital'!$B26,F$12,0)</f>
        <v>63703.760143973152</v>
      </c>
      <c r="G26" s="14">
        <f>IF('User Inputs'!$E$13&gt;='Pax Capital'!$B26,G$12,0)</f>
        <v>140892.40059993989</v>
      </c>
      <c r="H26" s="14">
        <f>IF('User Inputs'!$E$13&gt;='Pax Capital'!$B26,H$12,0)</f>
        <v>90500.431024231948</v>
      </c>
      <c r="I26" s="14">
        <f>IF('User Inputs'!$E$13&gt;='Pax Capital'!$B26,I$12,0)</f>
        <v>269593.36990717525</v>
      </c>
      <c r="J26" s="14">
        <f>IF('User Inputs'!$E$13&gt;='Pax Capital'!$B26,J$12,0)</f>
        <v>271486.60769810132</v>
      </c>
      <c r="K26" s="4" t="s">
        <v>42</v>
      </c>
      <c r="L26" s="33">
        <v>10</v>
      </c>
      <c r="M26" s="14">
        <f>IF('User Inputs'!$E$13&gt;='Pax Capital'!$B26,M$12,0)</f>
        <v>23005.856277312174</v>
      </c>
      <c r="N26" s="14">
        <f>IF('User Inputs'!$E$13&gt;='Pax Capital'!$B26,N$12,0)</f>
        <v>33728.942001207608</v>
      </c>
      <c r="O26" s="14">
        <f>IF('User Inputs'!$E$13&gt;='Pax Capital'!$B26,O$12,0)</f>
        <v>30537.104258185449</v>
      </c>
      <c r="P26" s="14">
        <f>IF('User Inputs'!$E$13&gt;='Pax Capital'!$B26,P$12,0)</f>
        <v>24546.840495756802</v>
      </c>
      <c r="Q26" s="14">
        <f>IF('User Inputs'!$E$13&gt;='Pax Capital'!$B26,Q$12,0)</f>
        <v>38092.782665495717</v>
      </c>
      <c r="R26" s="14">
        <f>IF('User Inputs'!$E$13&gt;='Pax Capital'!$B26,R$12,0)</f>
        <v>34061.42509943909</v>
      </c>
      <c r="S26" s="14">
        <f>IF('User Inputs'!$E$13&gt;='Pax Capital'!$B26,S$12,0)</f>
        <v>44902.050487154404</v>
      </c>
      <c r="T26" s="14">
        <f>IF('User Inputs'!$E$13&gt;='Pax Capital'!$B26,T$12,0)</f>
        <v>38002.76675825844</v>
      </c>
      <c r="U26" s="4" t="s">
        <v>42</v>
      </c>
      <c r="V26" s="33">
        <v>10</v>
      </c>
      <c r="W26" s="14">
        <f>IF('User Inputs'!$E$13&gt;='Pax Capital'!$B26,W$12,0)</f>
        <v>72461.53692540653</v>
      </c>
      <c r="X26" s="14">
        <f>IF('User Inputs'!$E$13&gt;='Pax Capital'!$B26,X$12,0)</f>
        <v>97565.69686165078</v>
      </c>
      <c r="Y26" s="14">
        <f>IF('User Inputs'!$E$13&gt;='Pax Capital'!$B26,Y$12,0)</f>
        <v>159806.53285058288</v>
      </c>
      <c r="Z26" s="14">
        <f>IF('User Inputs'!$E$13&gt;='Pax Capital'!$B26,Z$12,0)</f>
        <v>102860.67979218948</v>
      </c>
      <c r="AA26" s="14">
        <f>IF('User Inputs'!$E$13&gt;='Pax Capital'!$B26,AA$12,0)</f>
        <v>243692.01853438403</v>
      </c>
      <c r="AB26" s="14">
        <f>IF('User Inputs'!$E$13&gt;='Pax Capital'!$B26,AB$12,0)</f>
        <v>146939.43694902482</v>
      </c>
      <c r="AC26" s="14">
        <f>IF('User Inputs'!$E$13&gt;='Pax Capital'!$B26,AC$12,0)</f>
        <v>494284.6893271961</v>
      </c>
      <c r="AD26" s="14">
        <f>IF('User Inputs'!$E$13&gt;='Pax Capital'!$B26,AD$12,0)</f>
        <v>504970.44863794406</v>
      </c>
    </row>
    <row r="27" spans="1:30" x14ac:dyDescent="0.25">
      <c r="A27" s="4" t="s">
        <v>42</v>
      </c>
      <c r="B27" s="33">
        <v>11</v>
      </c>
      <c r="C27" s="14">
        <f>IF('User Inputs'!$E$13&gt;='Pax Capital'!$B27,C$12,0)</f>
        <v>47733.696601359356</v>
      </c>
      <c r="D27" s="14">
        <f>IF('User Inputs'!$E$13&gt;='Pax Capital'!$B27,D$12,0)</f>
        <v>65647.319431429205</v>
      </c>
      <c r="E27" s="14">
        <f>IF('User Inputs'!$E$13&gt;='Pax Capital'!$B27,E$12,0)</f>
        <v>95171.818554384168</v>
      </c>
      <c r="F27" s="14">
        <f>IF('User Inputs'!$E$13&gt;='Pax Capital'!$B27,F$12,0)</f>
        <v>63703.760143973152</v>
      </c>
      <c r="G27" s="14">
        <f>IF('User Inputs'!$E$13&gt;='Pax Capital'!$B27,G$12,0)</f>
        <v>140892.40059993989</v>
      </c>
      <c r="H27" s="14">
        <f>IF('User Inputs'!$E$13&gt;='Pax Capital'!$B27,H$12,0)</f>
        <v>90500.431024231948</v>
      </c>
      <c r="I27" s="14">
        <f>IF('User Inputs'!$E$13&gt;='Pax Capital'!$B27,I$12,0)</f>
        <v>269593.36990717525</v>
      </c>
      <c r="J27" s="14">
        <f>IF('User Inputs'!$E$13&gt;='Pax Capital'!$B27,J$12,0)</f>
        <v>271486.60769810132</v>
      </c>
      <c r="K27" s="4" t="s">
        <v>42</v>
      </c>
      <c r="L27" s="33">
        <v>11</v>
      </c>
      <c r="M27" s="14">
        <f>IF('User Inputs'!$E$13&gt;='Pax Capital'!$B27,M$12,0)</f>
        <v>23005.856277312174</v>
      </c>
      <c r="N27" s="14">
        <f>IF('User Inputs'!$E$13&gt;='Pax Capital'!$B27,N$12,0)</f>
        <v>33728.942001207608</v>
      </c>
      <c r="O27" s="14">
        <f>IF('User Inputs'!$E$13&gt;='Pax Capital'!$B27,O$12,0)</f>
        <v>30537.104258185449</v>
      </c>
      <c r="P27" s="14">
        <f>IF('User Inputs'!$E$13&gt;='Pax Capital'!$B27,P$12,0)</f>
        <v>24546.840495756802</v>
      </c>
      <c r="Q27" s="14">
        <f>IF('User Inputs'!$E$13&gt;='Pax Capital'!$B27,Q$12,0)</f>
        <v>38092.782665495717</v>
      </c>
      <c r="R27" s="14">
        <f>IF('User Inputs'!$E$13&gt;='Pax Capital'!$B27,R$12,0)</f>
        <v>34061.42509943909</v>
      </c>
      <c r="S27" s="14">
        <f>IF('User Inputs'!$E$13&gt;='Pax Capital'!$B27,S$12,0)</f>
        <v>44902.050487154404</v>
      </c>
      <c r="T27" s="14">
        <f>IF('User Inputs'!$E$13&gt;='Pax Capital'!$B27,T$12,0)</f>
        <v>38002.76675825844</v>
      </c>
      <c r="U27" s="4" t="s">
        <v>42</v>
      </c>
      <c r="V27" s="33">
        <v>11</v>
      </c>
      <c r="W27" s="14">
        <f>IF('User Inputs'!$E$13&gt;='Pax Capital'!$B27,W$12,0)</f>
        <v>72461.53692540653</v>
      </c>
      <c r="X27" s="14">
        <f>IF('User Inputs'!$E$13&gt;='Pax Capital'!$B27,X$12,0)</f>
        <v>97565.69686165078</v>
      </c>
      <c r="Y27" s="14">
        <f>IF('User Inputs'!$E$13&gt;='Pax Capital'!$B27,Y$12,0)</f>
        <v>159806.53285058288</v>
      </c>
      <c r="Z27" s="14">
        <f>IF('User Inputs'!$E$13&gt;='Pax Capital'!$B27,Z$12,0)</f>
        <v>102860.67979218948</v>
      </c>
      <c r="AA27" s="14">
        <f>IF('User Inputs'!$E$13&gt;='Pax Capital'!$B27,AA$12,0)</f>
        <v>243692.01853438403</v>
      </c>
      <c r="AB27" s="14">
        <f>IF('User Inputs'!$E$13&gt;='Pax Capital'!$B27,AB$12,0)</f>
        <v>146939.43694902482</v>
      </c>
      <c r="AC27" s="14">
        <f>IF('User Inputs'!$E$13&gt;='Pax Capital'!$B27,AC$12,0)</f>
        <v>494284.6893271961</v>
      </c>
      <c r="AD27" s="14">
        <f>IF('User Inputs'!$E$13&gt;='Pax Capital'!$B27,AD$12,0)</f>
        <v>504970.44863794406</v>
      </c>
    </row>
    <row r="28" spans="1:30" x14ac:dyDescent="0.25">
      <c r="A28" s="4" t="s">
        <v>42</v>
      </c>
      <c r="B28" s="33">
        <v>12</v>
      </c>
      <c r="C28" s="14">
        <f>IF('User Inputs'!$E$13&gt;='Pax Capital'!$B28,C$12,0)</f>
        <v>47733.696601359356</v>
      </c>
      <c r="D28" s="14">
        <f>IF('User Inputs'!$E$13&gt;='Pax Capital'!$B28,D$12,0)</f>
        <v>65647.319431429205</v>
      </c>
      <c r="E28" s="14">
        <f>IF('User Inputs'!$E$13&gt;='Pax Capital'!$B28,E$12,0)</f>
        <v>95171.818554384168</v>
      </c>
      <c r="F28" s="14">
        <f>IF('User Inputs'!$E$13&gt;='Pax Capital'!$B28,F$12,0)</f>
        <v>63703.760143973152</v>
      </c>
      <c r="G28" s="14">
        <f>IF('User Inputs'!$E$13&gt;='Pax Capital'!$B28,G$12,0)</f>
        <v>140892.40059993989</v>
      </c>
      <c r="H28" s="14">
        <f>IF('User Inputs'!$E$13&gt;='Pax Capital'!$B28,H$12,0)</f>
        <v>90500.431024231948</v>
      </c>
      <c r="I28" s="14">
        <f>IF('User Inputs'!$E$13&gt;='Pax Capital'!$B28,I$12,0)</f>
        <v>269593.36990717525</v>
      </c>
      <c r="J28" s="14">
        <f>IF('User Inputs'!$E$13&gt;='Pax Capital'!$B28,J$12,0)</f>
        <v>271486.60769810132</v>
      </c>
      <c r="K28" s="4" t="s">
        <v>42</v>
      </c>
      <c r="L28" s="33">
        <v>12</v>
      </c>
      <c r="M28" s="14">
        <f>IF('User Inputs'!$E$13&gt;='Pax Capital'!$B28,M$12,0)</f>
        <v>23005.856277312174</v>
      </c>
      <c r="N28" s="14">
        <f>IF('User Inputs'!$E$13&gt;='Pax Capital'!$B28,N$12,0)</f>
        <v>33728.942001207608</v>
      </c>
      <c r="O28" s="14">
        <f>IF('User Inputs'!$E$13&gt;='Pax Capital'!$B28,O$12,0)</f>
        <v>30537.104258185449</v>
      </c>
      <c r="P28" s="14">
        <f>IF('User Inputs'!$E$13&gt;='Pax Capital'!$B28,P$12,0)</f>
        <v>24546.840495756802</v>
      </c>
      <c r="Q28" s="14">
        <f>IF('User Inputs'!$E$13&gt;='Pax Capital'!$B28,Q$12,0)</f>
        <v>38092.782665495717</v>
      </c>
      <c r="R28" s="14">
        <f>IF('User Inputs'!$E$13&gt;='Pax Capital'!$B28,R$12,0)</f>
        <v>34061.42509943909</v>
      </c>
      <c r="S28" s="14">
        <f>IF('User Inputs'!$E$13&gt;='Pax Capital'!$B28,S$12,0)</f>
        <v>44902.050487154404</v>
      </c>
      <c r="T28" s="14">
        <f>IF('User Inputs'!$E$13&gt;='Pax Capital'!$B28,T$12,0)</f>
        <v>38002.76675825844</v>
      </c>
      <c r="U28" s="4" t="s">
        <v>42</v>
      </c>
      <c r="V28" s="33">
        <v>12</v>
      </c>
      <c r="W28" s="14">
        <f>IF('User Inputs'!$E$13&gt;='Pax Capital'!$B28,W$12,0)</f>
        <v>72461.53692540653</v>
      </c>
      <c r="X28" s="14">
        <f>IF('User Inputs'!$E$13&gt;='Pax Capital'!$B28,X$12,0)</f>
        <v>97565.69686165078</v>
      </c>
      <c r="Y28" s="14">
        <f>IF('User Inputs'!$E$13&gt;='Pax Capital'!$B28,Y$12,0)</f>
        <v>159806.53285058288</v>
      </c>
      <c r="Z28" s="14">
        <f>IF('User Inputs'!$E$13&gt;='Pax Capital'!$B28,Z$12,0)</f>
        <v>102860.67979218948</v>
      </c>
      <c r="AA28" s="14">
        <f>IF('User Inputs'!$E$13&gt;='Pax Capital'!$B28,AA$12,0)</f>
        <v>243692.01853438403</v>
      </c>
      <c r="AB28" s="14">
        <f>IF('User Inputs'!$E$13&gt;='Pax Capital'!$B28,AB$12,0)</f>
        <v>146939.43694902482</v>
      </c>
      <c r="AC28" s="14">
        <f>IF('User Inputs'!$E$13&gt;='Pax Capital'!$B28,AC$12,0)</f>
        <v>494284.6893271961</v>
      </c>
      <c r="AD28" s="14">
        <f>IF('User Inputs'!$E$13&gt;='Pax Capital'!$B28,AD$12,0)</f>
        <v>504970.44863794406</v>
      </c>
    </row>
    <row r="29" spans="1:30" x14ac:dyDescent="0.25">
      <c r="A29" s="4" t="s">
        <v>42</v>
      </c>
      <c r="B29" s="33">
        <v>13</v>
      </c>
      <c r="C29" s="14">
        <f>IF('User Inputs'!$E$13&gt;='Pax Capital'!$B29,C$12,0)</f>
        <v>47733.696601359356</v>
      </c>
      <c r="D29" s="14">
        <f>IF('User Inputs'!$E$13&gt;='Pax Capital'!$B29,D$12,0)</f>
        <v>65647.319431429205</v>
      </c>
      <c r="E29" s="14">
        <f>IF('User Inputs'!$E$13&gt;='Pax Capital'!$B29,E$12,0)</f>
        <v>95171.818554384168</v>
      </c>
      <c r="F29" s="14">
        <f>IF('User Inputs'!$E$13&gt;='Pax Capital'!$B29,F$12,0)</f>
        <v>63703.760143973152</v>
      </c>
      <c r="G29" s="14">
        <f>IF('User Inputs'!$E$13&gt;='Pax Capital'!$B29,G$12,0)</f>
        <v>140892.40059993989</v>
      </c>
      <c r="H29" s="14">
        <f>IF('User Inputs'!$E$13&gt;='Pax Capital'!$B29,H$12,0)</f>
        <v>90500.431024231948</v>
      </c>
      <c r="I29" s="14">
        <f>IF('User Inputs'!$E$13&gt;='Pax Capital'!$B29,I$12,0)</f>
        <v>269593.36990717525</v>
      </c>
      <c r="J29" s="14">
        <f>IF('User Inputs'!$E$13&gt;='Pax Capital'!$B29,J$12,0)</f>
        <v>271486.60769810132</v>
      </c>
      <c r="K29" s="4" t="s">
        <v>42</v>
      </c>
      <c r="L29" s="33">
        <v>13</v>
      </c>
      <c r="M29" s="14">
        <f>IF('User Inputs'!$E$13&gt;='Pax Capital'!$B29,M$12,0)</f>
        <v>23005.856277312174</v>
      </c>
      <c r="N29" s="14">
        <f>IF('User Inputs'!$E$13&gt;='Pax Capital'!$B29,N$12,0)</f>
        <v>33728.942001207608</v>
      </c>
      <c r="O29" s="14">
        <f>IF('User Inputs'!$E$13&gt;='Pax Capital'!$B29,O$12,0)</f>
        <v>30537.104258185449</v>
      </c>
      <c r="P29" s="14">
        <f>IF('User Inputs'!$E$13&gt;='Pax Capital'!$B29,P$12,0)</f>
        <v>24546.840495756802</v>
      </c>
      <c r="Q29" s="14">
        <f>IF('User Inputs'!$E$13&gt;='Pax Capital'!$B29,Q$12,0)</f>
        <v>38092.782665495717</v>
      </c>
      <c r="R29" s="14">
        <f>IF('User Inputs'!$E$13&gt;='Pax Capital'!$B29,R$12,0)</f>
        <v>34061.42509943909</v>
      </c>
      <c r="S29" s="14">
        <f>IF('User Inputs'!$E$13&gt;='Pax Capital'!$B29,S$12,0)</f>
        <v>44902.050487154404</v>
      </c>
      <c r="T29" s="14">
        <f>IF('User Inputs'!$E$13&gt;='Pax Capital'!$B29,T$12,0)</f>
        <v>38002.76675825844</v>
      </c>
      <c r="U29" s="4" t="s">
        <v>42</v>
      </c>
      <c r="V29" s="33">
        <v>13</v>
      </c>
      <c r="W29" s="14">
        <f>IF('User Inputs'!$E$13&gt;='Pax Capital'!$B29,W$12,0)</f>
        <v>72461.53692540653</v>
      </c>
      <c r="X29" s="14">
        <f>IF('User Inputs'!$E$13&gt;='Pax Capital'!$B29,X$12,0)</f>
        <v>97565.69686165078</v>
      </c>
      <c r="Y29" s="14">
        <f>IF('User Inputs'!$E$13&gt;='Pax Capital'!$B29,Y$12,0)</f>
        <v>159806.53285058288</v>
      </c>
      <c r="Z29" s="14">
        <f>IF('User Inputs'!$E$13&gt;='Pax Capital'!$B29,Z$12,0)</f>
        <v>102860.67979218948</v>
      </c>
      <c r="AA29" s="14">
        <f>IF('User Inputs'!$E$13&gt;='Pax Capital'!$B29,AA$12,0)</f>
        <v>243692.01853438403</v>
      </c>
      <c r="AB29" s="14">
        <f>IF('User Inputs'!$E$13&gt;='Pax Capital'!$B29,AB$12,0)</f>
        <v>146939.43694902482</v>
      </c>
      <c r="AC29" s="14">
        <f>IF('User Inputs'!$E$13&gt;='Pax Capital'!$B29,AC$12,0)</f>
        <v>494284.6893271961</v>
      </c>
      <c r="AD29" s="14">
        <f>IF('User Inputs'!$E$13&gt;='Pax Capital'!$B29,AD$12,0)</f>
        <v>504970.44863794406</v>
      </c>
    </row>
    <row r="30" spans="1:30" x14ac:dyDescent="0.25">
      <c r="A30" s="4" t="s">
        <v>42</v>
      </c>
      <c r="B30" s="33">
        <v>14</v>
      </c>
      <c r="C30" s="14">
        <f>IF('User Inputs'!$E$13&gt;='Pax Capital'!$B30,C$12,0)</f>
        <v>47733.696601359356</v>
      </c>
      <c r="D30" s="14">
        <f>IF('User Inputs'!$E$13&gt;='Pax Capital'!$B30,D$12,0)</f>
        <v>65647.319431429205</v>
      </c>
      <c r="E30" s="14">
        <f>IF('User Inputs'!$E$13&gt;='Pax Capital'!$B30,E$12,0)</f>
        <v>95171.818554384168</v>
      </c>
      <c r="F30" s="14">
        <f>IF('User Inputs'!$E$13&gt;='Pax Capital'!$B30,F$12,0)</f>
        <v>63703.760143973152</v>
      </c>
      <c r="G30" s="14">
        <f>IF('User Inputs'!$E$13&gt;='Pax Capital'!$B30,G$12,0)</f>
        <v>140892.40059993989</v>
      </c>
      <c r="H30" s="14">
        <f>IF('User Inputs'!$E$13&gt;='Pax Capital'!$B30,H$12,0)</f>
        <v>90500.431024231948</v>
      </c>
      <c r="I30" s="14">
        <f>IF('User Inputs'!$E$13&gt;='Pax Capital'!$B30,I$12,0)</f>
        <v>269593.36990717525</v>
      </c>
      <c r="J30" s="14">
        <f>IF('User Inputs'!$E$13&gt;='Pax Capital'!$B30,J$12,0)</f>
        <v>271486.60769810132</v>
      </c>
      <c r="K30" s="4" t="s">
        <v>42</v>
      </c>
      <c r="L30" s="33">
        <v>14</v>
      </c>
      <c r="M30" s="14">
        <f>IF('User Inputs'!$E$13&gt;='Pax Capital'!$B30,M$12,0)</f>
        <v>23005.856277312174</v>
      </c>
      <c r="N30" s="14">
        <f>IF('User Inputs'!$E$13&gt;='Pax Capital'!$B30,N$12,0)</f>
        <v>33728.942001207608</v>
      </c>
      <c r="O30" s="14">
        <f>IF('User Inputs'!$E$13&gt;='Pax Capital'!$B30,O$12,0)</f>
        <v>30537.104258185449</v>
      </c>
      <c r="P30" s="14">
        <f>IF('User Inputs'!$E$13&gt;='Pax Capital'!$B30,P$12,0)</f>
        <v>24546.840495756802</v>
      </c>
      <c r="Q30" s="14">
        <f>IF('User Inputs'!$E$13&gt;='Pax Capital'!$B30,Q$12,0)</f>
        <v>38092.782665495717</v>
      </c>
      <c r="R30" s="14">
        <f>IF('User Inputs'!$E$13&gt;='Pax Capital'!$B30,R$12,0)</f>
        <v>34061.42509943909</v>
      </c>
      <c r="S30" s="14">
        <f>IF('User Inputs'!$E$13&gt;='Pax Capital'!$B30,S$12,0)</f>
        <v>44902.050487154404</v>
      </c>
      <c r="T30" s="14">
        <f>IF('User Inputs'!$E$13&gt;='Pax Capital'!$B30,T$12,0)</f>
        <v>38002.76675825844</v>
      </c>
      <c r="U30" s="4" t="s">
        <v>42</v>
      </c>
      <c r="V30" s="33">
        <v>14</v>
      </c>
      <c r="W30" s="14">
        <f>IF('User Inputs'!$E$13&gt;='Pax Capital'!$B30,W$12,0)</f>
        <v>72461.53692540653</v>
      </c>
      <c r="X30" s="14">
        <f>IF('User Inputs'!$E$13&gt;='Pax Capital'!$B30,X$12,0)</f>
        <v>97565.69686165078</v>
      </c>
      <c r="Y30" s="14">
        <f>IF('User Inputs'!$E$13&gt;='Pax Capital'!$B30,Y$12,0)</f>
        <v>159806.53285058288</v>
      </c>
      <c r="Z30" s="14">
        <f>IF('User Inputs'!$E$13&gt;='Pax Capital'!$B30,Z$12,0)</f>
        <v>102860.67979218948</v>
      </c>
      <c r="AA30" s="14">
        <f>IF('User Inputs'!$E$13&gt;='Pax Capital'!$B30,AA$12,0)</f>
        <v>243692.01853438403</v>
      </c>
      <c r="AB30" s="14">
        <f>IF('User Inputs'!$E$13&gt;='Pax Capital'!$B30,AB$12,0)</f>
        <v>146939.43694902482</v>
      </c>
      <c r="AC30" s="14">
        <f>IF('User Inputs'!$E$13&gt;='Pax Capital'!$B30,AC$12,0)</f>
        <v>494284.6893271961</v>
      </c>
      <c r="AD30" s="14">
        <f>IF('User Inputs'!$E$13&gt;='Pax Capital'!$B30,AD$12,0)</f>
        <v>504970.44863794406</v>
      </c>
    </row>
    <row r="31" spans="1:30" x14ac:dyDescent="0.25">
      <c r="A31" s="4" t="s">
        <v>42</v>
      </c>
      <c r="B31" s="33">
        <v>15</v>
      </c>
      <c r="C31" s="14">
        <f>IF('User Inputs'!$E$13&gt;='Pax Capital'!$B31,C$12,0)</f>
        <v>47733.696601359356</v>
      </c>
      <c r="D31" s="14">
        <f>IF('User Inputs'!$E$13&gt;='Pax Capital'!$B31,D$12,0)</f>
        <v>65647.319431429205</v>
      </c>
      <c r="E31" s="14">
        <f>IF('User Inputs'!$E$13&gt;='Pax Capital'!$B31,E$12,0)</f>
        <v>95171.818554384168</v>
      </c>
      <c r="F31" s="14">
        <f>IF('User Inputs'!$E$13&gt;='Pax Capital'!$B31,F$12,0)</f>
        <v>63703.760143973152</v>
      </c>
      <c r="G31" s="14">
        <f>IF('User Inputs'!$E$13&gt;='Pax Capital'!$B31,G$12,0)</f>
        <v>140892.40059993989</v>
      </c>
      <c r="H31" s="14">
        <f>IF('User Inputs'!$E$13&gt;='Pax Capital'!$B31,H$12,0)</f>
        <v>90500.431024231948</v>
      </c>
      <c r="I31" s="14">
        <f>IF('User Inputs'!$E$13&gt;='Pax Capital'!$B31,I$12,0)</f>
        <v>269593.36990717525</v>
      </c>
      <c r="J31" s="14">
        <f>IF('User Inputs'!$E$13&gt;='Pax Capital'!$B31,J$12,0)</f>
        <v>271486.60769810132</v>
      </c>
      <c r="K31" s="4" t="s">
        <v>42</v>
      </c>
      <c r="L31" s="33">
        <v>15</v>
      </c>
      <c r="M31" s="14">
        <f>IF('User Inputs'!$E$13&gt;='Pax Capital'!$B31,M$12,0)</f>
        <v>23005.856277312174</v>
      </c>
      <c r="N31" s="14">
        <f>IF('User Inputs'!$E$13&gt;='Pax Capital'!$B31,N$12,0)</f>
        <v>33728.942001207608</v>
      </c>
      <c r="O31" s="14">
        <f>IF('User Inputs'!$E$13&gt;='Pax Capital'!$B31,O$12,0)</f>
        <v>30537.104258185449</v>
      </c>
      <c r="P31" s="14">
        <f>IF('User Inputs'!$E$13&gt;='Pax Capital'!$B31,P$12,0)</f>
        <v>24546.840495756802</v>
      </c>
      <c r="Q31" s="14">
        <f>IF('User Inputs'!$E$13&gt;='Pax Capital'!$B31,Q$12,0)</f>
        <v>38092.782665495717</v>
      </c>
      <c r="R31" s="14">
        <f>IF('User Inputs'!$E$13&gt;='Pax Capital'!$B31,R$12,0)</f>
        <v>34061.42509943909</v>
      </c>
      <c r="S31" s="14">
        <f>IF('User Inputs'!$E$13&gt;='Pax Capital'!$B31,S$12,0)</f>
        <v>44902.050487154404</v>
      </c>
      <c r="T31" s="14">
        <f>IF('User Inputs'!$E$13&gt;='Pax Capital'!$B31,T$12,0)</f>
        <v>38002.76675825844</v>
      </c>
      <c r="U31" s="4" t="s">
        <v>42</v>
      </c>
      <c r="V31" s="33">
        <v>15</v>
      </c>
      <c r="W31" s="14">
        <f>IF('User Inputs'!$E$13&gt;='Pax Capital'!$B31,W$12,0)</f>
        <v>72461.53692540653</v>
      </c>
      <c r="X31" s="14">
        <f>IF('User Inputs'!$E$13&gt;='Pax Capital'!$B31,X$12,0)</f>
        <v>97565.69686165078</v>
      </c>
      <c r="Y31" s="14">
        <f>IF('User Inputs'!$E$13&gt;='Pax Capital'!$B31,Y$12,0)</f>
        <v>159806.53285058288</v>
      </c>
      <c r="Z31" s="14">
        <f>IF('User Inputs'!$E$13&gt;='Pax Capital'!$B31,Z$12,0)</f>
        <v>102860.67979218948</v>
      </c>
      <c r="AA31" s="14">
        <f>IF('User Inputs'!$E$13&gt;='Pax Capital'!$B31,AA$12,0)</f>
        <v>243692.01853438403</v>
      </c>
      <c r="AB31" s="14">
        <f>IF('User Inputs'!$E$13&gt;='Pax Capital'!$B31,AB$12,0)</f>
        <v>146939.43694902482</v>
      </c>
      <c r="AC31" s="14">
        <f>IF('User Inputs'!$E$13&gt;='Pax Capital'!$B31,AC$12,0)</f>
        <v>494284.6893271961</v>
      </c>
      <c r="AD31" s="14">
        <f>IF('User Inputs'!$E$13&gt;='Pax Capital'!$B31,AD$12,0)</f>
        <v>504970.44863794406</v>
      </c>
    </row>
    <row r="32" spans="1:30" x14ac:dyDescent="0.25">
      <c r="A32" s="4" t="s">
        <v>42</v>
      </c>
      <c r="B32" s="33">
        <v>16</v>
      </c>
      <c r="C32" s="14">
        <f>IF('User Inputs'!$E$13&gt;='Pax Capital'!$B32,C$12,0)</f>
        <v>47733.696601359356</v>
      </c>
      <c r="D32" s="14">
        <f>IF('User Inputs'!$E$13&gt;='Pax Capital'!$B32,D$12,0)</f>
        <v>65647.319431429205</v>
      </c>
      <c r="E32" s="14">
        <f>IF('User Inputs'!$E$13&gt;='Pax Capital'!$B32,E$12,0)</f>
        <v>95171.818554384168</v>
      </c>
      <c r="F32" s="14">
        <f>IF('User Inputs'!$E$13&gt;='Pax Capital'!$B32,F$12,0)</f>
        <v>63703.760143973152</v>
      </c>
      <c r="G32" s="14">
        <f>IF('User Inputs'!$E$13&gt;='Pax Capital'!$B32,G$12,0)</f>
        <v>140892.40059993989</v>
      </c>
      <c r="H32" s="14">
        <f>IF('User Inputs'!$E$13&gt;='Pax Capital'!$B32,H$12,0)</f>
        <v>90500.431024231948</v>
      </c>
      <c r="I32" s="14">
        <f>IF('User Inputs'!$E$13&gt;='Pax Capital'!$B32,I$12,0)</f>
        <v>269593.36990717525</v>
      </c>
      <c r="J32" s="14">
        <f>IF('User Inputs'!$E$13&gt;='Pax Capital'!$B32,J$12,0)</f>
        <v>271486.60769810132</v>
      </c>
      <c r="K32" s="4" t="s">
        <v>42</v>
      </c>
      <c r="L32" s="33">
        <v>16</v>
      </c>
      <c r="M32" s="14">
        <f>IF('User Inputs'!$E$13&gt;='Pax Capital'!$B32,M$12,0)</f>
        <v>23005.856277312174</v>
      </c>
      <c r="N32" s="14">
        <f>IF('User Inputs'!$E$13&gt;='Pax Capital'!$B32,N$12,0)</f>
        <v>33728.942001207608</v>
      </c>
      <c r="O32" s="14">
        <f>IF('User Inputs'!$E$13&gt;='Pax Capital'!$B32,O$12,0)</f>
        <v>30537.104258185449</v>
      </c>
      <c r="P32" s="14">
        <f>IF('User Inputs'!$E$13&gt;='Pax Capital'!$B32,P$12,0)</f>
        <v>24546.840495756802</v>
      </c>
      <c r="Q32" s="14">
        <f>IF('User Inputs'!$E$13&gt;='Pax Capital'!$B32,Q$12,0)</f>
        <v>38092.782665495717</v>
      </c>
      <c r="R32" s="14">
        <f>IF('User Inputs'!$E$13&gt;='Pax Capital'!$B32,R$12,0)</f>
        <v>34061.42509943909</v>
      </c>
      <c r="S32" s="14">
        <f>IF('User Inputs'!$E$13&gt;='Pax Capital'!$B32,S$12,0)</f>
        <v>44902.050487154404</v>
      </c>
      <c r="T32" s="14">
        <f>IF('User Inputs'!$E$13&gt;='Pax Capital'!$B32,T$12,0)</f>
        <v>38002.76675825844</v>
      </c>
      <c r="U32" s="4" t="s">
        <v>42</v>
      </c>
      <c r="V32" s="33">
        <v>16</v>
      </c>
      <c r="W32" s="14">
        <f>IF('User Inputs'!$E$13&gt;='Pax Capital'!$B32,W$12,0)</f>
        <v>72461.53692540653</v>
      </c>
      <c r="X32" s="14">
        <f>IF('User Inputs'!$E$13&gt;='Pax Capital'!$B32,X$12,0)</f>
        <v>97565.69686165078</v>
      </c>
      <c r="Y32" s="14">
        <f>IF('User Inputs'!$E$13&gt;='Pax Capital'!$B32,Y$12,0)</f>
        <v>159806.53285058288</v>
      </c>
      <c r="Z32" s="14">
        <f>IF('User Inputs'!$E$13&gt;='Pax Capital'!$B32,Z$12,0)</f>
        <v>102860.67979218948</v>
      </c>
      <c r="AA32" s="14">
        <f>IF('User Inputs'!$E$13&gt;='Pax Capital'!$B32,AA$12,0)</f>
        <v>243692.01853438403</v>
      </c>
      <c r="AB32" s="14">
        <f>IF('User Inputs'!$E$13&gt;='Pax Capital'!$B32,AB$12,0)</f>
        <v>146939.43694902482</v>
      </c>
      <c r="AC32" s="14">
        <f>IF('User Inputs'!$E$13&gt;='Pax Capital'!$B32,AC$12,0)</f>
        <v>494284.6893271961</v>
      </c>
      <c r="AD32" s="14">
        <f>IF('User Inputs'!$E$13&gt;='Pax Capital'!$B32,AD$12,0)</f>
        <v>504970.44863794406</v>
      </c>
    </row>
    <row r="33" spans="1:30" x14ac:dyDescent="0.25">
      <c r="A33" s="4" t="s">
        <v>42</v>
      </c>
      <c r="B33" s="33">
        <v>17</v>
      </c>
      <c r="C33" s="14">
        <f>IF('User Inputs'!$E$13&gt;='Pax Capital'!$B33,C$12,0)</f>
        <v>47733.696601359356</v>
      </c>
      <c r="D33" s="14">
        <f>IF('User Inputs'!$E$13&gt;='Pax Capital'!$B33,D$12,0)</f>
        <v>65647.319431429205</v>
      </c>
      <c r="E33" s="14">
        <f>IF('User Inputs'!$E$13&gt;='Pax Capital'!$B33,E$12,0)</f>
        <v>95171.818554384168</v>
      </c>
      <c r="F33" s="14">
        <f>IF('User Inputs'!$E$13&gt;='Pax Capital'!$B33,F$12,0)</f>
        <v>63703.760143973152</v>
      </c>
      <c r="G33" s="14">
        <f>IF('User Inputs'!$E$13&gt;='Pax Capital'!$B33,G$12,0)</f>
        <v>140892.40059993989</v>
      </c>
      <c r="H33" s="14">
        <f>IF('User Inputs'!$E$13&gt;='Pax Capital'!$B33,H$12,0)</f>
        <v>90500.431024231948</v>
      </c>
      <c r="I33" s="14">
        <f>IF('User Inputs'!$E$13&gt;='Pax Capital'!$B33,I$12,0)</f>
        <v>269593.36990717525</v>
      </c>
      <c r="J33" s="14">
        <f>IF('User Inputs'!$E$13&gt;='Pax Capital'!$B33,J$12,0)</f>
        <v>271486.60769810132</v>
      </c>
      <c r="K33" s="4" t="s">
        <v>42</v>
      </c>
      <c r="L33" s="33">
        <v>17</v>
      </c>
      <c r="M33" s="14">
        <f>IF('User Inputs'!$E$13&gt;='Pax Capital'!$B33,M$12,0)</f>
        <v>23005.856277312174</v>
      </c>
      <c r="N33" s="14">
        <f>IF('User Inputs'!$E$13&gt;='Pax Capital'!$B33,N$12,0)</f>
        <v>33728.942001207608</v>
      </c>
      <c r="O33" s="14">
        <f>IF('User Inputs'!$E$13&gt;='Pax Capital'!$B33,O$12,0)</f>
        <v>30537.104258185449</v>
      </c>
      <c r="P33" s="14">
        <f>IF('User Inputs'!$E$13&gt;='Pax Capital'!$B33,P$12,0)</f>
        <v>24546.840495756802</v>
      </c>
      <c r="Q33" s="14">
        <f>IF('User Inputs'!$E$13&gt;='Pax Capital'!$B33,Q$12,0)</f>
        <v>38092.782665495717</v>
      </c>
      <c r="R33" s="14">
        <f>IF('User Inputs'!$E$13&gt;='Pax Capital'!$B33,R$12,0)</f>
        <v>34061.42509943909</v>
      </c>
      <c r="S33" s="14">
        <f>IF('User Inputs'!$E$13&gt;='Pax Capital'!$B33,S$12,0)</f>
        <v>44902.050487154404</v>
      </c>
      <c r="T33" s="14">
        <f>IF('User Inputs'!$E$13&gt;='Pax Capital'!$B33,T$12,0)</f>
        <v>38002.76675825844</v>
      </c>
      <c r="U33" s="4" t="s">
        <v>42</v>
      </c>
      <c r="V33" s="33">
        <v>17</v>
      </c>
      <c r="W33" s="14">
        <f>IF('User Inputs'!$E$13&gt;='Pax Capital'!$B33,W$12,0)</f>
        <v>72461.53692540653</v>
      </c>
      <c r="X33" s="14">
        <f>IF('User Inputs'!$E$13&gt;='Pax Capital'!$B33,X$12,0)</f>
        <v>97565.69686165078</v>
      </c>
      <c r="Y33" s="14">
        <f>IF('User Inputs'!$E$13&gt;='Pax Capital'!$B33,Y$12,0)</f>
        <v>159806.53285058288</v>
      </c>
      <c r="Z33" s="14">
        <f>IF('User Inputs'!$E$13&gt;='Pax Capital'!$B33,Z$12,0)</f>
        <v>102860.67979218948</v>
      </c>
      <c r="AA33" s="14">
        <f>IF('User Inputs'!$E$13&gt;='Pax Capital'!$B33,AA$12,0)</f>
        <v>243692.01853438403</v>
      </c>
      <c r="AB33" s="14">
        <f>IF('User Inputs'!$E$13&gt;='Pax Capital'!$B33,AB$12,0)</f>
        <v>146939.43694902482</v>
      </c>
      <c r="AC33" s="14">
        <f>IF('User Inputs'!$E$13&gt;='Pax Capital'!$B33,AC$12,0)</f>
        <v>494284.6893271961</v>
      </c>
      <c r="AD33" s="14">
        <f>IF('User Inputs'!$E$13&gt;='Pax Capital'!$B33,AD$12,0)</f>
        <v>504970.44863794406</v>
      </c>
    </row>
    <row r="34" spans="1:30" x14ac:dyDescent="0.25">
      <c r="A34" s="4" t="s">
        <v>42</v>
      </c>
      <c r="B34" s="33">
        <v>18</v>
      </c>
      <c r="C34" s="14">
        <f>IF('User Inputs'!$E$13&gt;='Pax Capital'!$B34,C$12,0)</f>
        <v>47733.696601359356</v>
      </c>
      <c r="D34" s="14">
        <f>IF('User Inputs'!$E$13&gt;='Pax Capital'!$B34,D$12,0)</f>
        <v>65647.319431429205</v>
      </c>
      <c r="E34" s="14">
        <f>IF('User Inputs'!$E$13&gt;='Pax Capital'!$B34,E$12,0)</f>
        <v>95171.818554384168</v>
      </c>
      <c r="F34" s="14">
        <f>IF('User Inputs'!$E$13&gt;='Pax Capital'!$B34,F$12,0)</f>
        <v>63703.760143973152</v>
      </c>
      <c r="G34" s="14">
        <f>IF('User Inputs'!$E$13&gt;='Pax Capital'!$B34,G$12,0)</f>
        <v>140892.40059993989</v>
      </c>
      <c r="H34" s="14">
        <f>IF('User Inputs'!$E$13&gt;='Pax Capital'!$B34,H$12,0)</f>
        <v>90500.431024231948</v>
      </c>
      <c r="I34" s="14">
        <f>IF('User Inputs'!$E$13&gt;='Pax Capital'!$B34,I$12,0)</f>
        <v>269593.36990717525</v>
      </c>
      <c r="J34" s="14">
        <f>IF('User Inputs'!$E$13&gt;='Pax Capital'!$B34,J$12,0)</f>
        <v>271486.60769810132</v>
      </c>
      <c r="K34" s="4" t="s">
        <v>42</v>
      </c>
      <c r="L34" s="33">
        <v>18</v>
      </c>
      <c r="M34" s="14">
        <f>IF('User Inputs'!$E$13&gt;='Pax Capital'!$B34,M$12,0)</f>
        <v>23005.856277312174</v>
      </c>
      <c r="N34" s="14">
        <f>IF('User Inputs'!$E$13&gt;='Pax Capital'!$B34,N$12,0)</f>
        <v>33728.942001207608</v>
      </c>
      <c r="O34" s="14">
        <f>IF('User Inputs'!$E$13&gt;='Pax Capital'!$B34,O$12,0)</f>
        <v>30537.104258185449</v>
      </c>
      <c r="P34" s="14">
        <f>IF('User Inputs'!$E$13&gt;='Pax Capital'!$B34,P$12,0)</f>
        <v>24546.840495756802</v>
      </c>
      <c r="Q34" s="14">
        <f>IF('User Inputs'!$E$13&gt;='Pax Capital'!$B34,Q$12,0)</f>
        <v>38092.782665495717</v>
      </c>
      <c r="R34" s="14">
        <f>IF('User Inputs'!$E$13&gt;='Pax Capital'!$B34,R$12,0)</f>
        <v>34061.42509943909</v>
      </c>
      <c r="S34" s="14">
        <f>IF('User Inputs'!$E$13&gt;='Pax Capital'!$B34,S$12,0)</f>
        <v>44902.050487154404</v>
      </c>
      <c r="T34" s="14">
        <f>IF('User Inputs'!$E$13&gt;='Pax Capital'!$B34,T$12,0)</f>
        <v>38002.76675825844</v>
      </c>
      <c r="U34" s="4" t="s">
        <v>42</v>
      </c>
      <c r="V34" s="33">
        <v>18</v>
      </c>
      <c r="W34" s="14">
        <f>IF('User Inputs'!$E$13&gt;='Pax Capital'!$B34,W$12,0)</f>
        <v>72461.53692540653</v>
      </c>
      <c r="X34" s="14">
        <f>IF('User Inputs'!$E$13&gt;='Pax Capital'!$B34,X$12,0)</f>
        <v>97565.69686165078</v>
      </c>
      <c r="Y34" s="14">
        <f>IF('User Inputs'!$E$13&gt;='Pax Capital'!$B34,Y$12,0)</f>
        <v>159806.53285058288</v>
      </c>
      <c r="Z34" s="14">
        <f>IF('User Inputs'!$E$13&gt;='Pax Capital'!$B34,Z$12,0)</f>
        <v>102860.67979218948</v>
      </c>
      <c r="AA34" s="14">
        <f>IF('User Inputs'!$E$13&gt;='Pax Capital'!$B34,AA$12,0)</f>
        <v>243692.01853438403</v>
      </c>
      <c r="AB34" s="14">
        <f>IF('User Inputs'!$E$13&gt;='Pax Capital'!$B34,AB$12,0)</f>
        <v>146939.43694902482</v>
      </c>
      <c r="AC34" s="14">
        <f>IF('User Inputs'!$E$13&gt;='Pax Capital'!$B34,AC$12,0)</f>
        <v>494284.6893271961</v>
      </c>
      <c r="AD34" s="14">
        <f>IF('User Inputs'!$E$13&gt;='Pax Capital'!$B34,AD$12,0)</f>
        <v>504970.44863794406</v>
      </c>
    </row>
    <row r="35" spans="1:30" x14ac:dyDescent="0.25">
      <c r="A35" s="4" t="s">
        <v>42</v>
      </c>
      <c r="B35" s="33">
        <v>19</v>
      </c>
      <c r="C35" s="14">
        <f>IF('User Inputs'!$E$13&gt;='Pax Capital'!$B35,C$12,0)</f>
        <v>47733.696601359356</v>
      </c>
      <c r="D35" s="14">
        <f>IF('User Inputs'!$E$13&gt;='Pax Capital'!$B35,D$12,0)</f>
        <v>65647.319431429205</v>
      </c>
      <c r="E35" s="14">
        <f>IF('User Inputs'!$E$13&gt;='Pax Capital'!$B35,E$12,0)</f>
        <v>95171.818554384168</v>
      </c>
      <c r="F35" s="14">
        <f>IF('User Inputs'!$E$13&gt;='Pax Capital'!$B35,F$12,0)</f>
        <v>63703.760143973152</v>
      </c>
      <c r="G35" s="14">
        <f>IF('User Inputs'!$E$13&gt;='Pax Capital'!$B35,G$12,0)</f>
        <v>140892.40059993989</v>
      </c>
      <c r="H35" s="14">
        <f>IF('User Inputs'!$E$13&gt;='Pax Capital'!$B35,H$12,0)</f>
        <v>90500.431024231948</v>
      </c>
      <c r="I35" s="14">
        <f>IF('User Inputs'!$E$13&gt;='Pax Capital'!$B35,I$12,0)</f>
        <v>269593.36990717525</v>
      </c>
      <c r="J35" s="14">
        <f>IF('User Inputs'!$E$13&gt;='Pax Capital'!$B35,J$12,0)</f>
        <v>271486.60769810132</v>
      </c>
      <c r="K35" s="4" t="s">
        <v>42</v>
      </c>
      <c r="L35" s="33">
        <v>19</v>
      </c>
      <c r="M35" s="14">
        <f>IF('User Inputs'!$E$13&gt;='Pax Capital'!$B35,M$12,0)</f>
        <v>23005.856277312174</v>
      </c>
      <c r="N35" s="14">
        <f>IF('User Inputs'!$E$13&gt;='Pax Capital'!$B35,N$12,0)</f>
        <v>33728.942001207608</v>
      </c>
      <c r="O35" s="14">
        <f>IF('User Inputs'!$E$13&gt;='Pax Capital'!$B35,O$12,0)</f>
        <v>30537.104258185449</v>
      </c>
      <c r="P35" s="14">
        <f>IF('User Inputs'!$E$13&gt;='Pax Capital'!$B35,P$12,0)</f>
        <v>24546.840495756802</v>
      </c>
      <c r="Q35" s="14">
        <f>IF('User Inputs'!$E$13&gt;='Pax Capital'!$B35,Q$12,0)</f>
        <v>38092.782665495717</v>
      </c>
      <c r="R35" s="14">
        <f>IF('User Inputs'!$E$13&gt;='Pax Capital'!$B35,R$12,0)</f>
        <v>34061.42509943909</v>
      </c>
      <c r="S35" s="14">
        <f>IF('User Inputs'!$E$13&gt;='Pax Capital'!$B35,S$12,0)</f>
        <v>44902.050487154404</v>
      </c>
      <c r="T35" s="14">
        <f>IF('User Inputs'!$E$13&gt;='Pax Capital'!$B35,T$12,0)</f>
        <v>38002.76675825844</v>
      </c>
      <c r="U35" s="4" t="s">
        <v>42</v>
      </c>
      <c r="V35" s="33">
        <v>19</v>
      </c>
      <c r="W35" s="14">
        <f>IF('User Inputs'!$E$13&gt;='Pax Capital'!$B35,W$12,0)</f>
        <v>72461.53692540653</v>
      </c>
      <c r="X35" s="14">
        <f>IF('User Inputs'!$E$13&gt;='Pax Capital'!$B35,X$12,0)</f>
        <v>97565.69686165078</v>
      </c>
      <c r="Y35" s="14">
        <f>IF('User Inputs'!$E$13&gt;='Pax Capital'!$B35,Y$12,0)</f>
        <v>159806.53285058288</v>
      </c>
      <c r="Z35" s="14">
        <f>IF('User Inputs'!$E$13&gt;='Pax Capital'!$B35,Z$12,0)</f>
        <v>102860.67979218948</v>
      </c>
      <c r="AA35" s="14">
        <f>IF('User Inputs'!$E$13&gt;='Pax Capital'!$B35,AA$12,0)</f>
        <v>243692.01853438403</v>
      </c>
      <c r="AB35" s="14">
        <f>IF('User Inputs'!$E$13&gt;='Pax Capital'!$B35,AB$12,0)</f>
        <v>146939.43694902482</v>
      </c>
      <c r="AC35" s="14">
        <f>IF('User Inputs'!$E$13&gt;='Pax Capital'!$B35,AC$12,0)</f>
        <v>494284.6893271961</v>
      </c>
      <c r="AD35" s="14">
        <f>IF('User Inputs'!$E$13&gt;='Pax Capital'!$B35,AD$12,0)</f>
        <v>504970.44863794406</v>
      </c>
    </row>
    <row r="36" spans="1:30" x14ac:dyDescent="0.25">
      <c r="A36" s="4" t="s">
        <v>42</v>
      </c>
      <c r="B36" s="33">
        <v>20</v>
      </c>
      <c r="C36" s="14">
        <f>IF('User Inputs'!$E$13&gt;='Pax Capital'!$B36,C$12,0)</f>
        <v>47733.696601359356</v>
      </c>
      <c r="D36" s="14">
        <f>IF('User Inputs'!$E$13&gt;='Pax Capital'!$B36,D$12,0)</f>
        <v>65647.319431429205</v>
      </c>
      <c r="E36" s="14">
        <f>IF('User Inputs'!$E$13&gt;='Pax Capital'!$B36,E$12,0)</f>
        <v>95171.818554384168</v>
      </c>
      <c r="F36" s="14">
        <f>IF('User Inputs'!$E$13&gt;='Pax Capital'!$B36,F$12,0)</f>
        <v>63703.760143973152</v>
      </c>
      <c r="G36" s="14">
        <f>IF('User Inputs'!$E$13&gt;='Pax Capital'!$B36,G$12,0)</f>
        <v>140892.40059993989</v>
      </c>
      <c r="H36" s="14">
        <f>IF('User Inputs'!$E$13&gt;='Pax Capital'!$B36,H$12,0)</f>
        <v>90500.431024231948</v>
      </c>
      <c r="I36" s="14">
        <f>IF('User Inputs'!$E$13&gt;='Pax Capital'!$B36,I$12,0)</f>
        <v>269593.36990717525</v>
      </c>
      <c r="J36" s="14">
        <f>IF('User Inputs'!$E$13&gt;='Pax Capital'!$B36,J$12,0)</f>
        <v>271486.60769810132</v>
      </c>
      <c r="K36" s="4" t="s">
        <v>42</v>
      </c>
      <c r="L36" s="33">
        <v>20</v>
      </c>
      <c r="M36" s="14">
        <f>IF('User Inputs'!$E$13&gt;='Pax Capital'!$B36,M$12,0)</f>
        <v>23005.856277312174</v>
      </c>
      <c r="N36" s="14">
        <f>IF('User Inputs'!$E$13&gt;='Pax Capital'!$B36,N$12,0)</f>
        <v>33728.942001207608</v>
      </c>
      <c r="O36" s="14">
        <f>IF('User Inputs'!$E$13&gt;='Pax Capital'!$B36,O$12,0)</f>
        <v>30537.104258185449</v>
      </c>
      <c r="P36" s="14">
        <f>IF('User Inputs'!$E$13&gt;='Pax Capital'!$B36,P$12,0)</f>
        <v>24546.840495756802</v>
      </c>
      <c r="Q36" s="14">
        <f>IF('User Inputs'!$E$13&gt;='Pax Capital'!$B36,Q$12,0)</f>
        <v>38092.782665495717</v>
      </c>
      <c r="R36" s="14">
        <f>IF('User Inputs'!$E$13&gt;='Pax Capital'!$B36,R$12,0)</f>
        <v>34061.42509943909</v>
      </c>
      <c r="S36" s="14">
        <f>IF('User Inputs'!$E$13&gt;='Pax Capital'!$B36,S$12,0)</f>
        <v>44902.050487154404</v>
      </c>
      <c r="T36" s="14">
        <f>IF('User Inputs'!$E$13&gt;='Pax Capital'!$B36,T$12,0)</f>
        <v>38002.76675825844</v>
      </c>
      <c r="U36" s="4" t="s">
        <v>42</v>
      </c>
      <c r="V36" s="33">
        <v>20</v>
      </c>
      <c r="W36" s="14">
        <f>IF('User Inputs'!$E$13&gt;='Pax Capital'!$B36,W$12,0)</f>
        <v>72461.53692540653</v>
      </c>
      <c r="X36" s="14">
        <f>IF('User Inputs'!$E$13&gt;='Pax Capital'!$B36,X$12,0)</f>
        <v>97565.69686165078</v>
      </c>
      <c r="Y36" s="14">
        <f>IF('User Inputs'!$E$13&gt;='Pax Capital'!$B36,Y$12,0)</f>
        <v>159806.53285058288</v>
      </c>
      <c r="Z36" s="14">
        <f>IF('User Inputs'!$E$13&gt;='Pax Capital'!$B36,Z$12,0)</f>
        <v>102860.67979218948</v>
      </c>
      <c r="AA36" s="14">
        <f>IF('User Inputs'!$E$13&gt;='Pax Capital'!$B36,AA$12,0)</f>
        <v>243692.01853438403</v>
      </c>
      <c r="AB36" s="14">
        <f>IF('User Inputs'!$E$13&gt;='Pax Capital'!$B36,AB$12,0)</f>
        <v>146939.43694902482</v>
      </c>
      <c r="AC36" s="14">
        <f>IF('User Inputs'!$E$13&gt;='Pax Capital'!$B36,AC$12,0)</f>
        <v>494284.6893271961</v>
      </c>
      <c r="AD36" s="14">
        <f>IF('User Inputs'!$E$13&gt;='Pax Capital'!$B36,AD$12,0)</f>
        <v>504970.44863794406</v>
      </c>
    </row>
    <row r="37" spans="1:30" x14ac:dyDescent="0.25">
      <c r="A37" s="4" t="s">
        <v>42</v>
      </c>
      <c r="B37" s="33">
        <v>21</v>
      </c>
      <c r="C37" s="14">
        <f>IF('User Inputs'!$E$13&gt;='Pax Capital'!$B37,C$12,0)</f>
        <v>0</v>
      </c>
      <c r="D37" s="14">
        <f>IF('User Inputs'!$E$13&gt;='Pax Capital'!$B37,D$12,0)</f>
        <v>0</v>
      </c>
      <c r="E37" s="14">
        <f>IF('User Inputs'!$E$13&gt;='Pax Capital'!$B37,E$12,0)</f>
        <v>0</v>
      </c>
      <c r="F37" s="14">
        <f>IF('User Inputs'!$E$13&gt;='Pax Capital'!$B37,F$12,0)</f>
        <v>0</v>
      </c>
      <c r="G37" s="14">
        <f>IF('User Inputs'!$E$13&gt;='Pax Capital'!$B37,G$12,0)</f>
        <v>0</v>
      </c>
      <c r="H37" s="14">
        <f>IF('User Inputs'!$E$13&gt;='Pax Capital'!$B37,H$12,0)</f>
        <v>0</v>
      </c>
      <c r="I37" s="14">
        <f>IF('User Inputs'!$E$13&gt;='Pax Capital'!$B37,I$12,0)</f>
        <v>0</v>
      </c>
      <c r="J37" s="14">
        <f>IF('User Inputs'!$E$13&gt;='Pax Capital'!$B37,J$12,0)</f>
        <v>0</v>
      </c>
      <c r="K37" s="4" t="s">
        <v>42</v>
      </c>
      <c r="L37" s="33">
        <v>21</v>
      </c>
      <c r="M37" s="14">
        <f>IF('User Inputs'!$E$13&gt;='Pax Capital'!$B37,M$12,0)</f>
        <v>0</v>
      </c>
      <c r="N37" s="14">
        <f>IF('User Inputs'!$E$13&gt;='Pax Capital'!$B37,N$12,0)</f>
        <v>0</v>
      </c>
      <c r="O37" s="14">
        <f>IF('User Inputs'!$E$13&gt;='Pax Capital'!$B37,O$12,0)</f>
        <v>0</v>
      </c>
      <c r="P37" s="14">
        <f>IF('User Inputs'!$E$13&gt;='Pax Capital'!$B37,P$12,0)</f>
        <v>0</v>
      </c>
      <c r="Q37" s="14">
        <f>IF('User Inputs'!$E$13&gt;='Pax Capital'!$B37,Q$12,0)</f>
        <v>0</v>
      </c>
      <c r="R37" s="14">
        <f>IF('User Inputs'!$E$13&gt;='Pax Capital'!$B37,R$12,0)</f>
        <v>0</v>
      </c>
      <c r="S37" s="14">
        <f>IF('User Inputs'!$E$13&gt;='Pax Capital'!$B37,S$12,0)</f>
        <v>0</v>
      </c>
      <c r="T37" s="14">
        <f>IF('User Inputs'!$E$13&gt;='Pax Capital'!$B37,T$12,0)</f>
        <v>0</v>
      </c>
      <c r="U37" s="4" t="s">
        <v>42</v>
      </c>
      <c r="V37" s="33">
        <v>21</v>
      </c>
      <c r="W37" s="14">
        <f>IF('User Inputs'!$E$13&gt;='Pax Capital'!$B37,W$12,0)</f>
        <v>0</v>
      </c>
      <c r="X37" s="14">
        <f>IF('User Inputs'!$E$13&gt;='Pax Capital'!$B37,X$12,0)</f>
        <v>0</v>
      </c>
      <c r="Y37" s="14">
        <f>IF('User Inputs'!$E$13&gt;='Pax Capital'!$B37,Y$12,0)</f>
        <v>0</v>
      </c>
      <c r="Z37" s="14">
        <f>IF('User Inputs'!$E$13&gt;='Pax Capital'!$B37,Z$12,0)</f>
        <v>0</v>
      </c>
      <c r="AA37" s="14">
        <f>IF('User Inputs'!$E$13&gt;='Pax Capital'!$B37,AA$12,0)</f>
        <v>0</v>
      </c>
      <c r="AB37" s="14">
        <f>IF('User Inputs'!$E$13&gt;='Pax Capital'!$B37,AB$12,0)</f>
        <v>0</v>
      </c>
      <c r="AC37" s="14">
        <f>IF('User Inputs'!$E$13&gt;='Pax Capital'!$B37,AC$12,0)</f>
        <v>0</v>
      </c>
      <c r="AD37" s="14">
        <f>IF('User Inputs'!$E$13&gt;='Pax Capital'!$B37,AD$12,0)</f>
        <v>0</v>
      </c>
    </row>
    <row r="38" spans="1:30" x14ac:dyDescent="0.25">
      <c r="A38" s="4" t="s">
        <v>42</v>
      </c>
      <c r="B38" s="33">
        <v>22</v>
      </c>
      <c r="C38" s="14">
        <f>IF('User Inputs'!$E$13&gt;='Pax Capital'!$B38,C$12,0)</f>
        <v>0</v>
      </c>
      <c r="D38" s="14">
        <f>IF('User Inputs'!$E$13&gt;='Pax Capital'!$B38,D$12,0)</f>
        <v>0</v>
      </c>
      <c r="E38" s="14">
        <f>IF('User Inputs'!$E$13&gt;='Pax Capital'!$B38,E$12,0)</f>
        <v>0</v>
      </c>
      <c r="F38" s="14">
        <f>IF('User Inputs'!$E$13&gt;='Pax Capital'!$B38,F$12,0)</f>
        <v>0</v>
      </c>
      <c r="G38" s="14">
        <f>IF('User Inputs'!$E$13&gt;='Pax Capital'!$B38,G$12,0)</f>
        <v>0</v>
      </c>
      <c r="H38" s="14">
        <f>IF('User Inputs'!$E$13&gt;='Pax Capital'!$B38,H$12,0)</f>
        <v>0</v>
      </c>
      <c r="I38" s="14">
        <f>IF('User Inputs'!$E$13&gt;='Pax Capital'!$B38,I$12,0)</f>
        <v>0</v>
      </c>
      <c r="J38" s="14">
        <f>IF('User Inputs'!$E$13&gt;='Pax Capital'!$B38,J$12,0)</f>
        <v>0</v>
      </c>
      <c r="K38" s="4" t="s">
        <v>42</v>
      </c>
      <c r="L38" s="33">
        <v>22</v>
      </c>
      <c r="M38" s="14">
        <f>IF('User Inputs'!$E$13&gt;='Pax Capital'!$B38,M$12,0)</f>
        <v>0</v>
      </c>
      <c r="N38" s="14">
        <f>IF('User Inputs'!$E$13&gt;='Pax Capital'!$B38,N$12,0)</f>
        <v>0</v>
      </c>
      <c r="O38" s="14">
        <f>IF('User Inputs'!$E$13&gt;='Pax Capital'!$B38,O$12,0)</f>
        <v>0</v>
      </c>
      <c r="P38" s="14">
        <f>IF('User Inputs'!$E$13&gt;='Pax Capital'!$B38,P$12,0)</f>
        <v>0</v>
      </c>
      <c r="Q38" s="14">
        <f>IF('User Inputs'!$E$13&gt;='Pax Capital'!$B38,Q$12,0)</f>
        <v>0</v>
      </c>
      <c r="R38" s="14">
        <f>IF('User Inputs'!$E$13&gt;='Pax Capital'!$B38,R$12,0)</f>
        <v>0</v>
      </c>
      <c r="S38" s="14">
        <f>IF('User Inputs'!$E$13&gt;='Pax Capital'!$B38,S$12,0)</f>
        <v>0</v>
      </c>
      <c r="T38" s="14">
        <f>IF('User Inputs'!$E$13&gt;='Pax Capital'!$B38,T$12,0)</f>
        <v>0</v>
      </c>
      <c r="U38" s="4" t="s">
        <v>42</v>
      </c>
      <c r="V38" s="33">
        <v>22</v>
      </c>
      <c r="W38" s="14">
        <f>IF('User Inputs'!$E$13&gt;='Pax Capital'!$B38,W$12,0)</f>
        <v>0</v>
      </c>
      <c r="X38" s="14">
        <f>IF('User Inputs'!$E$13&gt;='Pax Capital'!$B38,X$12,0)</f>
        <v>0</v>
      </c>
      <c r="Y38" s="14">
        <f>IF('User Inputs'!$E$13&gt;='Pax Capital'!$B38,Y$12,0)</f>
        <v>0</v>
      </c>
      <c r="Z38" s="14">
        <f>IF('User Inputs'!$E$13&gt;='Pax Capital'!$B38,Z$12,0)</f>
        <v>0</v>
      </c>
      <c r="AA38" s="14">
        <f>IF('User Inputs'!$E$13&gt;='Pax Capital'!$B38,AA$12,0)</f>
        <v>0</v>
      </c>
      <c r="AB38" s="14">
        <f>IF('User Inputs'!$E$13&gt;='Pax Capital'!$B38,AB$12,0)</f>
        <v>0</v>
      </c>
      <c r="AC38" s="14">
        <f>IF('User Inputs'!$E$13&gt;='Pax Capital'!$B38,AC$12,0)</f>
        <v>0</v>
      </c>
      <c r="AD38" s="14">
        <f>IF('User Inputs'!$E$13&gt;='Pax Capital'!$B38,AD$12,0)</f>
        <v>0</v>
      </c>
    </row>
    <row r="39" spans="1:30" x14ac:dyDescent="0.25">
      <c r="A39" s="4" t="s">
        <v>42</v>
      </c>
      <c r="B39" s="33">
        <v>23</v>
      </c>
      <c r="C39" s="14">
        <f>IF('User Inputs'!$E$13&gt;='Pax Capital'!$B39,C$12,0)</f>
        <v>0</v>
      </c>
      <c r="D39" s="14">
        <f>IF('User Inputs'!$E$13&gt;='Pax Capital'!$B39,D$12,0)</f>
        <v>0</v>
      </c>
      <c r="E39" s="14">
        <f>IF('User Inputs'!$E$13&gt;='Pax Capital'!$B39,E$12,0)</f>
        <v>0</v>
      </c>
      <c r="F39" s="14">
        <f>IF('User Inputs'!$E$13&gt;='Pax Capital'!$B39,F$12,0)</f>
        <v>0</v>
      </c>
      <c r="G39" s="14">
        <f>IF('User Inputs'!$E$13&gt;='Pax Capital'!$B39,G$12,0)</f>
        <v>0</v>
      </c>
      <c r="H39" s="14">
        <f>IF('User Inputs'!$E$13&gt;='Pax Capital'!$B39,H$12,0)</f>
        <v>0</v>
      </c>
      <c r="I39" s="14">
        <f>IF('User Inputs'!$E$13&gt;='Pax Capital'!$B39,I$12,0)</f>
        <v>0</v>
      </c>
      <c r="J39" s="14">
        <f>IF('User Inputs'!$E$13&gt;='Pax Capital'!$B39,J$12,0)</f>
        <v>0</v>
      </c>
      <c r="K39" s="4" t="s">
        <v>42</v>
      </c>
      <c r="L39" s="33">
        <v>23</v>
      </c>
      <c r="M39" s="14">
        <f>IF('User Inputs'!$E$13&gt;='Pax Capital'!$B39,M$12,0)</f>
        <v>0</v>
      </c>
      <c r="N39" s="14">
        <f>IF('User Inputs'!$E$13&gt;='Pax Capital'!$B39,N$12,0)</f>
        <v>0</v>
      </c>
      <c r="O39" s="14">
        <f>IF('User Inputs'!$E$13&gt;='Pax Capital'!$B39,O$12,0)</f>
        <v>0</v>
      </c>
      <c r="P39" s="14">
        <f>IF('User Inputs'!$E$13&gt;='Pax Capital'!$B39,P$12,0)</f>
        <v>0</v>
      </c>
      <c r="Q39" s="14">
        <f>IF('User Inputs'!$E$13&gt;='Pax Capital'!$B39,Q$12,0)</f>
        <v>0</v>
      </c>
      <c r="R39" s="14">
        <f>IF('User Inputs'!$E$13&gt;='Pax Capital'!$B39,R$12,0)</f>
        <v>0</v>
      </c>
      <c r="S39" s="14">
        <f>IF('User Inputs'!$E$13&gt;='Pax Capital'!$B39,S$12,0)</f>
        <v>0</v>
      </c>
      <c r="T39" s="14">
        <f>IF('User Inputs'!$E$13&gt;='Pax Capital'!$B39,T$12,0)</f>
        <v>0</v>
      </c>
      <c r="U39" s="4" t="s">
        <v>42</v>
      </c>
      <c r="V39" s="33">
        <v>23</v>
      </c>
      <c r="W39" s="14">
        <f>IF('User Inputs'!$E$13&gt;='Pax Capital'!$B39,W$12,0)</f>
        <v>0</v>
      </c>
      <c r="X39" s="14">
        <f>IF('User Inputs'!$E$13&gt;='Pax Capital'!$B39,X$12,0)</f>
        <v>0</v>
      </c>
      <c r="Y39" s="14">
        <f>IF('User Inputs'!$E$13&gt;='Pax Capital'!$B39,Y$12,0)</f>
        <v>0</v>
      </c>
      <c r="Z39" s="14">
        <f>IF('User Inputs'!$E$13&gt;='Pax Capital'!$B39,Z$12,0)</f>
        <v>0</v>
      </c>
      <c r="AA39" s="14">
        <f>IF('User Inputs'!$E$13&gt;='Pax Capital'!$B39,AA$12,0)</f>
        <v>0</v>
      </c>
      <c r="AB39" s="14">
        <f>IF('User Inputs'!$E$13&gt;='Pax Capital'!$B39,AB$12,0)</f>
        <v>0</v>
      </c>
      <c r="AC39" s="14">
        <f>IF('User Inputs'!$E$13&gt;='Pax Capital'!$B39,AC$12,0)</f>
        <v>0</v>
      </c>
      <c r="AD39" s="14">
        <f>IF('User Inputs'!$E$13&gt;='Pax Capital'!$B39,AD$12,0)</f>
        <v>0</v>
      </c>
    </row>
    <row r="40" spans="1:30" x14ac:dyDescent="0.25">
      <c r="A40" s="4" t="s">
        <v>42</v>
      </c>
      <c r="B40" s="33">
        <v>24</v>
      </c>
      <c r="C40" s="14">
        <f>IF('User Inputs'!$E$13&gt;='Pax Capital'!$B40,C$12,0)</f>
        <v>0</v>
      </c>
      <c r="D40" s="14">
        <f>IF('User Inputs'!$E$13&gt;='Pax Capital'!$B40,D$12,0)</f>
        <v>0</v>
      </c>
      <c r="E40" s="14">
        <f>IF('User Inputs'!$E$13&gt;='Pax Capital'!$B40,E$12,0)</f>
        <v>0</v>
      </c>
      <c r="F40" s="14">
        <f>IF('User Inputs'!$E$13&gt;='Pax Capital'!$B40,F$12,0)</f>
        <v>0</v>
      </c>
      <c r="G40" s="14">
        <f>IF('User Inputs'!$E$13&gt;='Pax Capital'!$B40,G$12,0)</f>
        <v>0</v>
      </c>
      <c r="H40" s="14">
        <f>IF('User Inputs'!$E$13&gt;='Pax Capital'!$B40,H$12,0)</f>
        <v>0</v>
      </c>
      <c r="I40" s="14">
        <f>IF('User Inputs'!$E$13&gt;='Pax Capital'!$B40,I$12,0)</f>
        <v>0</v>
      </c>
      <c r="J40" s="14">
        <f>IF('User Inputs'!$E$13&gt;='Pax Capital'!$B40,J$12,0)</f>
        <v>0</v>
      </c>
      <c r="K40" s="4" t="s">
        <v>42</v>
      </c>
      <c r="L40" s="33">
        <v>24</v>
      </c>
      <c r="M40" s="14">
        <f>IF('User Inputs'!$E$13&gt;='Pax Capital'!$B40,M$12,0)</f>
        <v>0</v>
      </c>
      <c r="N40" s="14">
        <f>IF('User Inputs'!$E$13&gt;='Pax Capital'!$B40,N$12,0)</f>
        <v>0</v>
      </c>
      <c r="O40" s="14">
        <f>IF('User Inputs'!$E$13&gt;='Pax Capital'!$B40,O$12,0)</f>
        <v>0</v>
      </c>
      <c r="P40" s="14">
        <f>IF('User Inputs'!$E$13&gt;='Pax Capital'!$B40,P$12,0)</f>
        <v>0</v>
      </c>
      <c r="Q40" s="14">
        <f>IF('User Inputs'!$E$13&gt;='Pax Capital'!$B40,Q$12,0)</f>
        <v>0</v>
      </c>
      <c r="R40" s="14">
        <f>IF('User Inputs'!$E$13&gt;='Pax Capital'!$B40,R$12,0)</f>
        <v>0</v>
      </c>
      <c r="S40" s="14">
        <f>IF('User Inputs'!$E$13&gt;='Pax Capital'!$B40,S$12,0)</f>
        <v>0</v>
      </c>
      <c r="T40" s="14">
        <f>IF('User Inputs'!$E$13&gt;='Pax Capital'!$B40,T$12,0)</f>
        <v>0</v>
      </c>
      <c r="U40" s="4" t="s">
        <v>42</v>
      </c>
      <c r="V40" s="33">
        <v>24</v>
      </c>
      <c r="W40" s="14">
        <f>IF('User Inputs'!$E$13&gt;='Pax Capital'!$B40,W$12,0)</f>
        <v>0</v>
      </c>
      <c r="X40" s="14">
        <f>IF('User Inputs'!$E$13&gt;='Pax Capital'!$B40,X$12,0)</f>
        <v>0</v>
      </c>
      <c r="Y40" s="14">
        <f>IF('User Inputs'!$E$13&gt;='Pax Capital'!$B40,Y$12,0)</f>
        <v>0</v>
      </c>
      <c r="Z40" s="14">
        <f>IF('User Inputs'!$E$13&gt;='Pax Capital'!$B40,Z$12,0)</f>
        <v>0</v>
      </c>
      <c r="AA40" s="14">
        <f>IF('User Inputs'!$E$13&gt;='Pax Capital'!$B40,AA$12,0)</f>
        <v>0</v>
      </c>
      <c r="AB40" s="14">
        <f>IF('User Inputs'!$E$13&gt;='Pax Capital'!$B40,AB$12,0)</f>
        <v>0</v>
      </c>
      <c r="AC40" s="14">
        <f>IF('User Inputs'!$E$13&gt;='Pax Capital'!$B40,AC$12,0)</f>
        <v>0</v>
      </c>
      <c r="AD40" s="14">
        <f>IF('User Inputs'!$E$13&gt;='Pax Capital'!$B40,AD$12,0)</f>
        <v>0</v>
      </c>
    </row>
    <row r="41" spans="1:30" x14ac:dyDescent="0.25">
      <c r="A41" s="4" t="s">
        <v>42</v>
      </c>
      <c r="B41" s="33">
        <v>25</v>
      </c>
      <c r="C41" s="14">
        <f>IF('User Inputs'!$E$13&gt;='Pax Capital'!$B41,C$12,0)</f>
        <v>0</v>
      </c>
      <c r="D41" s="14">
        <f>IF('User Inputs'!$E$13&gt;='Pax Capital'!$B41,D$12,0)</f>
        <v>0</v>
      </c>
      <c r="E41" s="14">
        <f>IF('User Inputs'!$E$13&gt;='Pax Capital'!$B41,E$12,0)</f>
        <v>0</v>
      </c>
      <c r="F41" s="14">
        <f>IF('User Inputs'!$E$13&gt;='Pax Capital'!$B41,F$12,0)</f>
        <v>0</v>
      </c>
      <c r="G41" s="14">
        <f>IF('User Inputs'!$E$13&gt;='Pax Capital'!$B41,G$12,0)</f>
        <v>0</v>
      </c>
      <c r="H41" s="14">
        <f>IF('User Inputs'!$E$13&gt;='Pax Capital'!$B41,H$12,0)</f>
        <v>0</v>
      </c>
      <c r="I41" s="14">
        <f>IF('User Inputs'!$E$13&gt;='Pax Capital'!$B41,I$12,0)</f>
        <v>0</v>
      </c>
      <c r="J41" s="14">
        <f>IF('User Inputs'!$E$13&gt;='Pax Capital'!$B41,J$12,0)</f>
        <v>0</v>
      </c>
      <c r="K41" s="4" t="s">
        <v>42</v>
      </c>
      <c r="L41" s="33">
        <v>25</v>
      </c>
      <c r="M41" s="14">
        <f>IF('User Inputs'!$E$13&gt;='Pax Capital'!$B41,M$12,0)</f>
        <v>0</v>
      </c>
      <c r="N41" s="14">
        <f>IF('User Inputs'!$E$13&gt;='Pax Capital'!$B41,N$12,0)</f>
        <v>0</v>
      </c>
      <c r="O41" s="14">
        <f>IF('User Inputs'!$E$13&gt;='Pax Capital'!$B41,O$12,0)</f>
        <v>0</v>
      </c>
      <c r="P41" s="14">
        <f>IF('User Inputs'!$E$13&gt;='Pax Capital'!$B41,P$12,0)</f>
        <v>0</v>
      </c>
      <c r="Q41" s="14">
        <f>IF('User Inputs'!$E$13&gt;='Pax Capital'!$B41,Q$12,0)</f>
        <v>0</v>
      </c>
      <c r="R41" s="14">
        <f>IF('User Inputs'!$E$13&gt;='Pax Capital'!$B41,R$12,0)</f>
        <v>0</v>
      </c>
      <c r="S41" s="14">
        <f>IF('User Inputs'!$E$13&gt;='Pax Capital'!$B41,S$12,0)</f>
        <v>0</v>
      </c>
      <c r="T41" s="14">
        <f>IF('User Inputs'!$E$13&gt;='Pax Capital'!$B41,T$12,0)</f>
        <v>0</v>
      </c>
      <c r="U41" s="4" t="s">
        <v>42</v>
      </c>
      <c r="V41" s="33">
        <v>25</v>
      </c>
      <c r="W41" s="14">
        <f>IF('User Inputs'!$E$13&gt;='Pax Capital'!$B41,W$12,0)</f>
        <v>0</v>
      </c>
      <c r="X41" s="14">
        <f>IF('User Inputs'!$E$13&gt;='Pax Capital'!$B41,X$12,0)</f>
        <v>0</v>
      </c>
      <c r="Y41" s="14">
        <f>IF('User Inputs'!$E$13&gt;='Pax Capital'!$B41,Y$12,0)</f>
        <v>0</v>
      </c>
      <c r="Z41" s="14">
        <f>IF('User Inputs'!$E$13&gt;='Pax Capital'!$B41,Z$12,0)</f>
        <v>0</v>
      </c>
      <c r="AA41" s="14">
        <f>IF('User Inputs'!$E$13&gt;='Pax Capital'!$B41,AA$12,0)</f>
        <v>0</v>
      </c>
      <c r="AB41" s="14">
        <f>IF('User Inputs'!$E$13&gt;='Pax Capital'!$B41,AB$12,0)</f>
        <v>0</v>
      </c>
      <c r="AC41" s="14">
        <f>IF('User Inputs'!$E$13&gt;='Pax Capital'!$B41,AC$12,0)</f>
        <v>0</v>
      </c>
      <c r="AD41" s="14">
        <f>IF('User Inputs'!$E$13&gt;='Pax Capital'!$B41,AD$12,0)</f>
        <v>0</v>
      </c>
    </row>
  </sheetData>
  <sheetProtection password="EF95" sheet="1" objects="1" scenarios="1"/>
  <mergeCells count="1">
    <mergeCell ref="A15:B15"/>
  </mergeCells>
  <pageMargins left="0.25" right="0.25" top="0.75" bottom="0.75" header="0.3" footer="0.3"/>
  <pageSetup orientation="landscape" r:id="rId1"/>
  <headerFooter>
    <oddHeader xml:space="preserve">&amp;CCapital Costs
</oddHeader>
    <oddFooter>&amp;C&amp;D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5"/>
  <sheetViews>
    <sheetView view="pageLayout" zoomScale="90" zoomScaleNormal="100" zoomScalePageLayoutView="90" workbookViewId="0">
      <selection sqref="A1:A5"/>
    </sheetView>
  </sheetViews>
  <sheetFormatPr defaultRowHeight="15" x14ac:dyDescent="0.25"/>
  <cols>
    <col min="1" max="1" width="23.5703125" customWidth="1"/>
    <col min="2" max="2" width="3.140625" bestFit="1" customWidth="1"/>
    <col min="3" max="3" width="12.85546875" customWidth="1"/>
    <col min="4" max="4" width="12" customWidth="1"/>
    <col min="5" max="5" width="13.7109375" customWidth="1"/>
    <col min="6" max="7" width="14.28515625" bestFit="1" customWidth="1"/>
    <col min="8" max="8" width="13.5703125" customWidth="1"/>
    <col min="9" max="9" width="14.140625" customWidth="1"/>
    <col min="10" max="10" width="12" customWidth="1"/>
    <col min="11" max="11" width="24" customWidth="1"/>
    <col min="12" max="12" width="3.28515625" customWidth="1"/>
    <col min="13" max="13" width="13.42578125" customWidth="1"/>
    <col min="14" max="14" width="13.28515625" customWidth="1"/>
    <col min="15" max="15" width="13.5703125" customWidth="1"/>
    <col min="16" max="16" width="13.85546875" customWidth="1"/>
    <col min="17" max="18" width="12.5703125" bestFit="1" customWidth="1"/>
    <col min="19" max="19" width="14.28515625" bestFit="1" customWidth="1"/>
    <col min="20" max="20" width="12.7109375" customWidth="1"/>
    <col min="21" max="21" width="23.85546875" customWidth="1"/>
    <col min="22" max="22" width="3.28515625" customWidth="1"/>
    <col min="23" max="24" width="12.5703125" bestFit="1" customWidth="1"/>
    <col min="25" max="25" width="14.28515625" bestFit="1" customWidth="1"/>
    <col min="26" max="28" width="12.5703125" bestFit="1" customWidth="1"/>
    <col min="29" max="29" width="15.140625" bestFit="1" customWidth="1"/>
    <col min="30" max="30" width="12.5703125" bestFit="1" customWidth="1"/>
  </cols>
  <sheetData>
    <row r="1" spans="1:30" x14ac:dyDescent="0.25">
      <c r="A1" s="17"/>
      <c r="B1" s="73"/>
    </row>
    <row r="2" spans="1:30" ht="15" customHeight="1" x14ac:dyDescent="0.25">
      <c r="A2" s="115" t="s">
        <v>92</v>
      </c>
      <c r="B2" s="2"/>
      <c r="C2" s="42" t="str">
        <f>'Pax Service Overview'!B1</f>
        <v>12-30 Pax Skiff</v>
      </c>
      <c r="D2" s="42" t="str">
        <f>'Pax Service Overview'!C1</f>
        <v>31-50 Pax Pontoon</v>
      </c>
      <c r="E2" s="42" t="str">
        <f>'Pax Service Overview'!D1</f>
        <v>31-50 Pax Mono or Cat</v>
      </c>
      <c r="F2" s="42" t="str">
        <f>'Pax Service Overview'!E1</f>
        <v>51-100 Pax, &lt;20kt</v>
      </c>
      <c r="G2" s="42" t="str">
        <f>'Pax Service Overview'!F1</f>
        <v>51-100 Pax, &gt;20kt</v>
      </c>
      <c r="H2" s="42" t="str">
        <f>'Pax Service Overview'!G1</f>
        <v>101-150 Pax, &lt;20kt</v>
      </c>
      <c r="I2" s="42" t="str">
        <f>'Pax Service Overview'!H1</f>
        <v>101-150 Pax, &gt;20kt</v>
      </c>
      <c r="J2" s="42" t="str">
        <f>'Pax Service Overview'!I1</f>
        <v>151-300 Pax</v>
      </c>
      <c r="K2" s="115" t="s">
        <v>90</v>
      </c>
      <c r="M2" s="42" t="str">
        <f>'Pax Service Overview'!B1</f>
        <v>12-30 Pax Skiff</v>
      </c>
      <c r="N2" s="42" t="str">
        <f>'Pax Service Overview'!C1</f>
        <v>31-50 Pax Pontoon</v>
      </c>
      <c r="O2" s="42" t="str">
        <f>'Pax Service Overview'!D1</f>
        <v>31-50 Pax Mono or Cat</v>
      </c>
      <c r="P2" s="42" t="str">
        <f>'Pax Service Overview'!E1</f>
        <v>51-100 Pax, &lt;20kt</v>
      </c>
      <c r="Q2" s="42" t="str">
        <f>'Pax Service Overview'!F1</f>
        <v>51-100 Pax, &gt;20kt</v>
      </c>
      <c r="R2" s="42" t="str">
        <f>'Pax Service Overview'!G1</f>
        <v>101-150 Pax, &lt;20kt</v>
      </c>
      <c r="S2" s="42" t="str">
        <f>'Pax Service Overview'!H1</f>
        <v>101-150 Pax, &gt;20kt</v>
      </c>
      <c r="T2" s="42" t="str">
        <f>'Pax Service Overview'!I1</f>
        <v>151-300 Pax</v>
      </c>
      <c r="U2" s="115" t="s">
        <v>91</v>
      </c>
      <c r="W2" s="42" t="str">
        <f>'Pax Service Overview'!B1</f>
        <v>12-30 Pax Skiff</v>
      </c>
      <c r="X2" s="42" t="str">
        <f>'Pax Service Overview'!C1</f>
        <v>31-50 Pax Pontoon</v>
      </c>
      <c r="Y2" s="42" t="str">
        <f>'Pax Service Overview'!D1</f>
        <v>31-50 Pax Mono or Cat</v>
      </c>
      <c r="Z2" s="42" t="str">
        <f>'Pax Service Overview'!E1</f>
        <v>51-100 Pax, &lt;20kt</v>
      </c>
      <c r="AA2" s="42" t="str">
        <f>'Pax Service Overview'!F1</f>
        <v>51-100 Pax, &gt;20kt</v>
      </c>
      <c r="AB2" s="42" t="str">
        <f>'Pax Service Overview'!G1</f>
        <v>101-150 Pax, &lt;20kt</v>
      </c>
      <c r="AC2" s="42" t="str">
        <f>'Pax Service Overview'!H1</f>
        <v>101-150 Pax, &gt;20kt</v>
      </c>
      <c r="AD2" s="42" t="str">
        <f>'Pax Service Overview'!I1</f>
        <v>151-300 Pax</v>
      </c>
    </row>
    <row r="3" spans="1:30" x14ac:dyDescent="0.25">
      <c r="A3" s="48" t="s">
        <v>29</v>
      </c>
      <c r="B3" s="74"/>
      <c r="C3" s="13">
        <f>'Pax Service Overview'!B14</f>
        <v>8370</v>
      </c>
      <c r="D3" s="13">
        <f>'Pax Service Overview'!C14</f>
        <v>5550</v>
      </c>
      <c r="E3" s="13">
        <f>'Pax Service Overview'!D14</f>
        <v>5550</v>
      </c>
      <c r="F3" s="13">
        <f>'Pax Service Overview'!E14</f>
        <v>3060</v>
      </c>
      <c r="G3" s="13">
        <f>'Pax Service Overview'!F14</f>
        <v>2490</v>
      </c>
      <c r="H3" s="13">
        <f>'Pax Service Overview'!G14</f>
        <v>2490</v>
      </c>
      <c r="I3" s="13">
        <f>'Pax Service Overview'!H14</f>
        <v>1590</v>
      </c>
      <c r="J3" s="13">
        <f>'Pax Service Overview'!I14</f>
        <v>1140</v>
      </c>
      <c r="K3" s="48" t="s">
        <v>29</v>
      </c>
      <c r="L3" s="74"/>
      <c r="M3" s="13">
        <f>C3</f>
        <v>8370</v>
      </c>
      <c r="N3" s="13">
        <f t="shared" ref="N3:T3" si="0">D3</f>
        <v>5550</v>
      </c>
      <c r="O3" s="13">
        <f t="shared" si="0"/>
        <v>5550</v>
      </c>
      <c r="P3" s="13">
        <f t="shared" si="0"/>
        <v>3060</v>
      </c>
      <c r="Q3" s="13">
        <f t="shared" si="0"/>
        <v>2490</v>
      </c>
      <c r="R3" s="13">
        <f t="shared" si="0"/>
        <v>2490</v>
      </c>
      <c r="S3" s="13">
        <f t="shared" si="0"/>
        <v>1590</v>
      </c>
      <c r="T3" s="13">
        <f t="shared" si="0"/>
        <v>1140</v>
      </c>
      <c r="U3" s="48" t="s">
        <v>29</v>
      </c>
      <c r="V3" s="74"/>
      <c r="W3" s="13">
        <f>M3</f>
        <v>8370</v>
      </c>
      <c r="X3" s="13">
        <f t="shared" ref="X3" si="1">N3</f>
        <v>5550</v>
      </c>
      <c r="Y3" s="13">
        <f t="shared" ref="Y3" si="2">O3</f>
        <v>5550</v>
      </c>
      <c r="Z3" s="13">
        <f t="shared" ref="Z3" si="3">P3</f>
        <v>3060</v>
      </c>
      <c r="AA3" s="13">
        <f t="shared" ref="AA3" si="4">Q3</f>
        <v>2490</v>
      </c>
      <c r="AB3" s="13">
        <f t="shared" ref="AB3" si="5">R3</f>
        <v>2490</v>
      </c>
      <c r="AC3" s="13">
        <f t="shared" ref="AC3" si="6">S3</f>
        <v>1590</v>
      </c>
      <c r="AD3" s="13">
        <f t="shared" ref="AD3" si="7">T3</f>
        <v>1140</v>
      </c>
    </row>
    <row r="4" spans="1:30" x14ac:dyDescent="0.25">
      <c r="A4" s="30" t="s">
        <v>34</v>
      </c>
      <c r="B4" s="34" t="s">
        <v>142</v>
      </c>
      <c r="C4" s="14">
        <f>+'Vessel Data'!C37*'Pax Service Overview'!B14*'User Inputs'!$E5</f>
        <v>255436.70624999999</v>
      </c>
      <c r="D4" s="14">
        <f>+'Vessel Data'!D37*'Pax Service Overview'!C14*'User Inputs'!$E5</f>
        <v>272213.625</v>
      </c>
      <c r="E4" s="14">
        <f>+'Vessel Data'!E37*'Pax Service Overview'!D14*'User Inputs'!$E5</f>
        <v>272213.625</v>
      </c>
      <c r="F4" s="14">
        <f>+'Vessel Data'!F37*'Pax Service Overview'!E14*'User Inputs'!$E5</f>
        <v>150085.35</v>
      </c>
      <c r="G4" s="14">
        <f>+'Vessel Data'!G37*'Pax Service Overview'!F14*'User Inputs'!$E5</f>
        <v>122128.27499999999</v>
      </c>
      <c r="H4" s="14">
        <f>+'Vessel Data'!H37*'Pax Service Overview'!G14*'User Inputs'!$E5</f>
        <v>122128.27499999999</v>
      </c>
      <c r="I4" s="14">
        <f>+'Vessel Data'!I37*'Pax Service Overview'!H14*'User Inputs'!$E5</f>
        <v>77985.524999999994</v>
      </c>
      <c r="J4" s="14">
        <f>+'Vessel Data'!J37*'Pax Service Overview'!I14*'User Inputs'!$E5</f>
        <v>98161.125000000015</v>
      </c>
      <c r="K4" s="30" t="s">
        <v>34</v>
      </c>
      <c r="L4" s="34"/>
      <c r="M4" s="14">
        <f>C4</f>
        <v>255436.70624999999</v>
      </c>
      <c r="N4" s="14">
        <f t="shared" ref="N4:T4" si="8">D4</f>
        <v>272213.625</v>
      </c>
      <c r="O4" s="14">
        <f t="shared" si="8"/>
        <v>272213.625</v>
      </c>
      <c r="P4" s="14">
        <f t="shared" si="8"/>
        <v>150085.35</v>
      </c>
      <c r="Q4" s="14">
        <f t="shared" si="8"/>
        <v>122128.27499999999</v>
      </c>
      <c r="R4" s="14">
        <f t="shared" si="8"/>
        <v>122128.27499999999</v>
      </c>
      <c r="S4" s="14">
        <f t="shared" si="8"/>
        <v>77985.524999999994</v>
      </c>
      <c r="T4" s="14">
        <f t="shared" si="8"/>
        <v>98161.125000000015</v>
      </c>
      <c r="U4" s="30" t="s">
        <v>34</v>
      </c>
      <c r="V4" s="34"/>
      <c r="W4" s="14">
        <f>M4</f>
        <v>255436.70624999999</v>
      </c>
      <c r="X4" s="14">
        <f t="shared" ref="X4" si="9">N4</f>
        <v>272213.625</v>
      </c>
      <c r="Y4" s="14">
        <f t="shared" ref="Y4" si="10">O4</f>
        <v>272213.625</v>
      </c>
      <c r="Z4" s="14">
        <f t="shared" ref="Z4" si="11">P4</f>
        <v>150085.35</v>
      </c>
      <c r="AA4" s="14">
        <f t="shared" ref="AA4" si="12">Q4</f>
        <v>122128.27499999999</v>
      </c>
      <c r="AB4" s="14">
        <f t="shared" ref="AB4" si="13">R4</f>
        <v>122128.27499999999</v>
      </c>
      <c r="AC4" s="14">
        <f t="shared" ref="AC4" si="14">S4</f>
        <v>77985.524999999994</v>
      </c>
      <c r="AD4" s="14">
        <f t="shared" ref="AD4" si="15">T4</f>
        <v>98161.125000000015</v>
      </c>
    </row>
    <row r="5" spans="1:30" x14ac:dyDescent="0.25">
      <c r="A5" s="30" t="s">
        <v>2</v>
      </c>
      <c r="B5" s="34" t="s">
        <v>142</v>
      </c>
      <c r="C5" s="14">
        <f>AVERAGE('Vessel Data'!C39:C40)*C3</f>
        <v>124406.45759918251</v>
      </c>
      <c r="D5" s="14">
        <f>AVERAGE('Vessel Data'!D39:D40)*D3</f>
        <v>148858.84756190548</v>
      </c>
      <c r="E5" s="14">
        <f>AVERAGE('Vessel Data'!E39:E40)*E3</f>
        <v>179614.41481908434</v>
      </c>
      <c r="F5" s="14">
        <f>AVERAGE('Vessel Data'!F39:F40)*F3</f>
        <v>106879.16211444358</v>
      </c>
      <c r="G5" s="14">
        <f>AVERAGE('Vessel Data'!G39:G40)*G3</f>
        <v>151817.83710326909</v>
      </c>
      <c r="H5" s="14">
        <f>AVERAGE('Vessel Data'!H39:H40)*H3</f>
        <v>154550.91068748425</v>
      </c>
      <c r="I5" s="14">
        <f>AVERAGE('Vessel Data'!I39:I40)*I3</f>
        <v>187367.53836178585</v>
      </c>
      <c r="J5" s="14">
        <f>AVERAGE('Vessel Data'!J39:J40)*J3</f>
        <v>205446.42155710104</v>
      </c>
      <c r="K5" s="107" t="s">
        <v>2</v>
      </c>
      <c r="L5" s="34"/>
      <c r="M5" s="14">
        <f>'Vessel Data'!C39*'Pax Service Overview'!B14</f>
        <v>128721.72469054502</v>
      </c>
      <c r="N5" s="14">
        <f>'Vessel Data'!D39*'Pax Service Overview'!C14</f>
        <v>139241.54535718108</v>
      </c>
      <c r="O5" s="14">
        <f>'Vessel Data'!E39*'Pax Service Overview'!D14</f>
        <v>159993.57337330119</v>
      </c>
      <c r="P5" s="14">
        <f>'Vessel Data'!F39*'Pax Service Overview'!E14</f>
        <v>97440.356341323335</v>
      </c>
      <c r="Q5" s="14">
        <f>'Vessel Data'!G39*'Pax Service Overview'!F14</f>
        <v>129236.40819311197</v>
      </c>
      <c r="R5" s="14">
        <f>'Vessel Data'!H39*'Pax Service Overview'!G14</f>
        <v>110863.66560480707</v>
      </c>
      <c r="S5" s="14">
        <f>'Vessel Data'!I39*'Pax Service Overview'!H14</f>
        <v>155614.92093891834</v>
      </c>
      <c r="T5" s="14">
        <f>'Vessel Data'!J39*'Pax Service Overview'!I14</f>
        <v>159838.13845500475</v>
      </c>
      <c r="U5" s="107" t="s">
        <v>2</v>
      </c>
      <c r="V5" s="34"/>
      <c r="W5" s="14">
        <f>'Vessel Data'!C40*'Pax Service Overview'!B14</f>
        <v>120091.19050781999</v>
      </c>
      <c r="X5" s="14">
        <f>'Vessel Data'!D40*'Pax Service Overview'!C14</f>
        <v>158476.14976662991</v>
      </c>
      <c r="Y5" s="14">
        <f>'Vessel Data'!E40*'Pax Service Overview'!D14</f>
        <v>199235.25626486746</v>
      </c>
      <c r="Z5" s="14">
        <f>'Vessel Data'!F40*'Pax Service Overview'!E14</f>
        <v>116317.96788756382</v>
      </c>
      <c r="AA5" s="14">
        <f>'Vessel Data'!G40*'Pax Service Overview'!F14</f>
        <v>174399.26601342621</v>
      </c>
      <c r="AB5" s="14">
        <f>'Vessel Data'!H40*'Pax Service Overview'!G14</f>
        <v>198238.15577016142</v>
      </c>
      <c r="AC5" s="14">
        <f>'Vessel Data'!I40*'Pax Service Overview'!H14</f>
        <v>219120.15578465338</v>
      </c>
      <c r="AD5" s="14">
        <f>'Vessel Data'!J40*'Pax Service Overview'!I14</f>
        <v>251054.7046591973</v>
      </c>
    </row>
    <row r="6" spans="1:30" ht="30" x14ac:dyDescent="0.25">
      <c r="A6" s="108" t="s">
        <v>3</v>
      </c>
      <c r="B6" s="109" t="s">
        <v>143</v>
      </c>
      <c r="C6" s="110">
        <f>AVERAGE(M6,W6)</f>
        <v>117536.38448275861</v>
      </c>
      <c r="D6" s="110">
        <f t="shared" ref="D6:J6" si="16">AVERAGE(N6,X6)</f>
        <v>111398.72164948453</v>
      </c>
      <c r="E6" s="110">
        <f t="shared" si="16"/>
        <v>162920.63041237113</v>
      </c>
      <c r="F6" s="110">
        <f t="shared" si="16"/>
        <v>63871.919999999984</v>
      </c>
      <c r="G6" s="110">
        <f t="shared" si="16"/>
        <v>117738.04218750002</v>
      </c>
      <c r="H6" s="110">
        <f t="shared" si="16"/>
        <v>75079.331250000003</v>
      </c>
      <c r="I6" s="110">
        <f t="shared" si="16"/>
        <v>156049.4142857143</v>
      </c>
      <c r="J6" s="110">
        <f t="shared" si="16"/>
        <v>100699.78285714284</v>
      </c>
      <c r="K6" s="51" t="s">
        <v>3</v>
      </c>
      <c r="L6" s="75"/>
      <c r="M6" s="110">
        <f>('Vessel Data'!C23*'Pax Service Overview'!B11*'Pax Capital'!C4*(0.021+'Vessel Data'!C42*'Pax Service Overview'!B14))*(1+0.02*'User Inputs'!$E23)</f>
        <v>54247.562068965512</v>
      </c>
      <c r="N6" s="110">
        <f>('Vessel Data'!D23*'Pax Service Overview'!C11*'Pax Capital'!D4*(0.021+'Vessel Data'!D42*'Pax Service Overview'!C14))*(1+0.02*'User Inputs'!$E23)</f>
        <v>55699.360824742267</v>
      </c>
      <c r="O6" s="110">
        <f>('Vessel Data'!E23*'Pax Service Overview'!D11*'Pax Capital'!E4*(0.021+'Vessel Data'!E42*'Pax Service Overview'!D14))*(1+0.02*'User Inputs'!$E23)</f>
        <v>50129.424742268042</v>
      </c>
      <c r="P6" s="110">
        <f>('Vessel Data'!F23*'Pax Service Overview'!E11*'Pax Capital'!F4*(0.021+'Vessel Data'!F42*'Pax Service Overview'!E14))*(1+0.02*'User Inputs'!$E23)</f>
        <v>23463.154285714281</v>
      </c>
      <c r="Q6" s="110">
        <f>('Vessel Data'!G23*'Pax Service Overview'!F11*'Pax Capital'!G4*(0.021+'Vessel Data'!G42*'Pax Service Overview'!F14))*(1+0.02*'User Inputs'!$E23)</f>
        <v>30714.271875000002</v>
      </c>
      <c r="R6" s="110">
        <f>('Vessel Data'!H23*'Pax Service Overview'!G11*'Pax Capital'!H4*(0.021+'Vessel Data'!H42*'Pax Service Overview'!G14))*(1+0.02*'User Inputs'!$E23)</f>
        <v>27301.575000000001</v>
      </c>
      <c r="S6" s="110">
        <f>('Vessel Data'!I23*'Pax Service Overview'!H11*'Pax Capital'!I4*(0.021+'Vessel Data'!I42*'Pax Service Overview'!H14))*(1+0.02*'User Inputs'!$E23)</f>
        <v>25111.399999999998</v>
      </c>
      <c r="T6" s="110">
        <f>('Vessel Data'!J23*'Pax Service Overview'!I11*'Pax Capital'!J4*(0.021+'Vessel Data'!J42*'Pax Service Overview'!I14))*(1+0.02*'User Inputs'!$E23)</f>
        <v>13514.53714285714</v>
      </c>
      <c r="U6" s="51" t="s">
        <v>3</v>
      </c>
      <c r="V6" s="75"/>
      <c r="W6" s="110">
        <f>('Vessel Data'!C24*'Pax Service Overview'!B11*'Pax Capital'!C4*(0.021+'Vessel Data'!C42*'Pax Service Overview'!B14))*(1+0.02*'User Inputs'!$E23)</f>
        <v>180825.20689655171</v>
      </c>
      <c r="X6" s="110">
        <f>('Vessel Data'!D24*'Pax Service Overview'!C11*'Pax Capital'!D4*(0.021+'Vessel Data'!D42*'Pax Service Overview'!C14))*(1+0.02*'User Inputs'!$E23)</f>
        <v>167098.0824742268</v>
      </c>
      <c r="Y6" s="110">
        <f>('Vessel Data'!E24*'Pax Service Overview'!D11*'Pax Capital'!E4*(0.021+'Vessel Data'!E42*'Pax Service Overview'!D14))*(1+0.02*'User Inputs'!$E23)</f>
        <v>275711.83608247421</v>
      </c>
      <c r="Z6" s="110">
        <f>('Vessel Data'!F24*'Pax Service Overview'!E11*'Pax Capital'!F4*(0.021+'Vessel Data'!F42*'Pax Service Overview'!E14))*(1+0.02*'User Inputs'!$E23)</f>
        <v>104280.68571428569</v>
      </c>
      <c r="AA6" s="110">
        <f>('Vessel Data'!G24*'Pax Service Overview'!F11*'Pax Capital'!G4*(0.021+'Vessel Data'!G42*'Pax Service Overview'!F14))*(1+0.02*'User Inputs'!$E23)</f>
        <v>204761.81250000003</v>
      </c>
      <c r="AB6" s="110">
        <f>('Vessel Data'!H24*'Pax Service Overview'!G11*'Pax Capital'!H4*(0.021+'Vessel Data'!H42*'Pax Service Overview'!G14))*(1+0.02*'User Inputs'!$E23)</f>
        <v>122857.08750000001</v>
      </c>
      <c r="AC6" s="110">
        <f>('Vessel Data'!I24*'Pax Service Overview'!H11*'Pax Capital'!I4*(0.021+'Vessel Data'!I42*'Pax Service Overview'!H14))*(1+0.02*'User Inputs'!$E23)</f>
        <v>286987.42857142858</v>
      </c>
      <c r="AD6" s="110">
        <f>('Vessel Data'!J24*'Pax Service Overview'!I11*'Pax Capital'!J4*(0.021+'Vessel Data'!J42*'Pax Service Overview'!I14))*(1+0.02*'User Inputs'!$E23)</f>
        <v>187885.02857142853</v>
      </c>
    </row>
    <row r="7" spans="1:30" x14ac:dyDescent="0.25">
      <c r="A7" s="108" t="s">
        <v>38</v>
      </c>
      <c r="B7" s="109" t="s">
        <v>144</v>
      </c>
      <c r="C7" s="110">
        <f>AVERAGE(M7,W7)</f>
        <v>62494.137931034486</v>
      </c>
      <c r="D7" s="110">
        <f t="shared" ref="D7:J7" si="17">AVERAGE(N7,X7)</f>
        <v>67703.298969072173</v>
      </c>
      <c r="E7" s="110">
        <f t="shared" si="17"/>
        <v>76288.824742268043</v>
      </c>
      <c r="F7" s="110">
        <f t="shared" si="17"/>
        <v>67138.125</v>
      </c>
      <c r="G7" s="110">
        <f t="shared" si="17"/>
        <v>89584.0625</v>
      </c>
      <c r="H7" s="110">
        <f t="shared" si="17"/>
        <v>74930.416666666672</v>
      </c>
      <c r="I7" s="110">
        <f t="shared" si="17"/>
        <v>127009.43877551021</v>
      </c>
      <c r="J7" s="110">
        <f t="shared" si="17"/>
        <v>127559.97959183673</v>
      </c>
      <c r="K7" s="51" t="s">
        <v>38</v>
      </c>
      <c r="L7" s="75"/>
      <c r="M7" s="110">
        <f>-'Pax Capital'!M8*0.02+0.35*'User Inputs'!$B23</f>
        <v>55303.448275862072</v>
      </c>
      <c r="N7" s="110">
        <f>-'Pax Capital'!N8*0.02+0.35*'User Inputs'!$B23</f>
        <v>58421.649484536087</v>
      </c>
      <c r="O7" s="110">
        <f>-'Pax Capital'!O8*0.02+0.35*'User Inputs'!$B23</f>
        <v>57493.484536082469</v>
      </c>
      <c r="P7" s="110">
        <f>-'Pax Capital'!P8*0.02+0.35*'User Inputs'!$B23</f>
        <v>55751.556122448979</v>
      </c>
      <c r="Q7" s="110">
        <f>-'Pax Capital'!Q8*0.02+0.35*'User Inputs'!$B23</f>
        <v>59690.625</v>
      </c>
      <c r="R7" s="110">
        <f>-'Pax Capital'!R8*0.02+0.35*'User Inputs'!$B23</f>
        <v>58518.333333333336</v>
      </c>
      <c r="S7" s="110">
        <f>-'Pax Capital'!S8*0.02+0.35*'User Inputs'!$B23</f>
        <v>61670.71428571429</v>
      </c>
      <c r="T7" s="110">
        <f>-'Pax Capital'!T8*0.02+0.35*'User Inputs'!$B23</f>
        <v>59664.448979591834</v>
      </c>
      <c r="U7" s="51" t="s">
        <v>38</v>
      </c>
      <c r="V7" s="75"/>
      <c r="W7" s="110">
        <f>-'Pax Capital'!W8*0.02+0.35*'User Inputs'!$B23</f>
        <v>69684.827586206899</v>
      </c>
      <c r="X7" s="110">
        <f>-'Pax Capital'!X8*0.02+0.35*'User Inputs'!$B23</f>
        <v>76984.948453608245</v>
      </c>
      <c r="Y7" s="110">
        <f>-'Pax Capital'!Y8*0.02+0.35*'User Inputs'!$B23</f>
        <v>95084.164948453603</v>
      </c>
      <c r="Z7" s="110">
        <f>-'Pax Capital'!Z8*0.02+0.35*'User Inputs'!$B23</f>
        <v>78524.693877551021</v>
      </c>
      <c r="AA7" s="110">
        <f>-'Pax Capital'!AA8*0.02+0.35*'User Inputs'!$B23</f>
        <v>119477.5</v>
      </c>
      <c r="AB7" s="110">
        <f>-'Pax Capital'!AB8*0.02+0.35*'User Inputs'!$B23</f>
        <v>91342.5</v>
      </c>
      <c r="AC7" s="110">
        <f>-'Pax Capital'!AC8*0.02+0.35*'User Inputs'!$B23</f>
        <v>192348.16326530612</v>
      </c>
      <c r="AD7" s="110">
        <f>-'Pax Capital'!AD8*0.02+0.35*'User Inputs'!$B23</f>
        <v>195455.51020408163</v>
      </c>
    </row>
    <row r="8" spans="1:30" ht="30" x14ac:dyDescent="0.25">
      <c r="A8" s="111" t="s">
        <v>191</v>
      </c>
      <c r="B8" s="112" t="s">
        <v>143</v>
      </c>
      <c r="C8" s="110">
        <f>IF('User Inputs'!$B2="New Service",'User Inputs'!$B$23*'User Inputs'!$E$15+70000, 'User Inputs'!$B$23*'User Inputs'!$E$15)</f>
        <v>154240</v>
      </c>
      <c r="D8" s="110">
        <f>IF('User Inputs'!$B2="New Service",'User Inputs'!$B$23*'User Inputs'!$E$15+70000, 'User Inputs'!$B$23*'User Inputs'!$E$15)</f>
        <v>154240</v>
      </c>
      <c r="E8" s="110">
        <f>IF('User Inputs'!$B2="New Service",'User Inputs'!$B$23*'User Inputs'!$E$15+70000, 'User Inputs'!$B$23*'User Inputs'!$E$15)</f>
        <v>154240</v>
      </c>
      <c r="F8" s="110">
        <f>IF('User Inputs'!$B2="New Service",'User Inputs'!$B$23*'User Inputs'!$E$15+70000, 'User Inputs'!$B$23*'User Inputs'!$E$15)</f>
        <v>154240</v>
      </c>
      <c r="G8" s="110">
        <f>IF('User Inputs'!$B2="New Service",'User Inputs'!$B$23*'User Inputs'!$E$15+70000, 'User Inputs'!$B$23*'User Inputs'!$E$15)</f>
        <v>154240</v>
      </c>
      <c r="H8" s="110">
        <f>IF('User Inputs'!$B2="New Service",'User Inputs'!$B$23*'User Inputs'!$E$15+70000, 'User Inputs'!$B$23*'User Inputs'!$E$15)</f>
        <v>154240</v>
      </c>
      <c r="I8" s="110">
        <f>IF('User Inputs'!$B2="New Service",'User Inputs'!$B$23*'User Inputs'!$E$15+70000, 'User Inputs'!$B$23*'User Inputs'!$E$15)</f>
        <v>154240</v>
      </c>
      <c r="J8" s="110">
        <f>IF('User Inputs'!$B2="New Service",'User Inputs'!$B$23*'User Inputs'!$E$15+70000, 'User Inputs'!$B$23*'User Inputs'!$E$15)</f>
        <v>154240</v>
      </c>
      <c r="K8" s="64" t="s">
        <v>39</v>
      </c>
      <c r="L8" s="76"/>
      <c r="M8" s="110">
        <f>C8</f>
        <v>154240</v>
      </c>
      <c r="N8" s="110">
        <f t="shared" ref="N8:T8" si="18">D8</f>
        <v>154240</v>
      </c>
      <c r="O8" s="110">
        <f t="shared" si="18"/>
        <v>154240</v>
      </c>
      <c r="P8" s="110">
        <f t="shared" si="18"/>
        <v>154240</v>
      </c>
      <c r="Q8" s="110">
        <f t="shared" si="18"/>
        <v>154240</v>
      </c>
      <c r="R8" s="110">
        <f t="shared" si="18"/>
        <v>154240</v>
      </c>
      <c r="S8" s="110">
        <f t="shared" si="18"/>
        <v>154240</v>
      </c>
      <c r="T8" s="110">
        <f t="shared" si="18"/>
        <v>154240</v>
      </c>
      <c r="U8" s="64" t="s">
        <v>39</v>
      </c>
      <c r="V8" s="76"/>
      <c r="W8" s="110">
        <f>M8</f>
        <v>154240</v>
      </c>
      <c r="X8" s="110">
        <f t="shared" ref="X8:AD8" si="19">N8</f>
        <v>154240</v>
      </c>
      <c r="Y8" s="110">
        <f t="shared" si="19"/>
        <v>154240</v>
      </c>
      <c r="Z8" s="110">
        <f t="shared" si="19"/>
        <v>154240</v>
      </c>
      <c r="AA8" s="110">
        <f t="shared" si="19"/>
        <v>154240</v>
      </c>
      <c r="AB8" s="110">
        <f t="shared" si="19"/>
        <v>154240</v>
      </c>
      <c r="AC8" s="110">
        <f t="shared" si="19"/>
        <v>154240</v>
      </c>
      <c r="AD8" s="110">
        <f t="shared" si="19"/>
        <v>154240</v>
      </c>
    </row>
    <row r="9" spans="1:30" ht="30" x14ac:dyDescent="0.25">
      <c r="A9" s="65" t="s">
        <v>163</v>
      </c>
      <c r="B9" s="77"/>
      <c r="C9" s="15">
        <f>ROUND(SUM(C4:C8),-3)</f>
        <v>714000</v>
      </c>
      <c r="D9" s="15">
        <f t="shared" ref="D9:J9" si="20">ROUND(SUM(D4:D8),-4)</f>
        <v>750000</v>
      </c>
      <c r="E9" s="15">
        <f t="shared" si="20"/>
        <v>850000</v>
      </c>
      <c r="F9" s="15">
        <f t="shared" si="20"/>
        <v>540000</v>
      </c>
      <c r="G9" s="15">
        <f t="shared" si="20"/>
        <v>640000</v>
      </c>
      <c r="H9" s="15">
        <f t="shared" si="20"/>
        <v>580000</v>
      </c>
      <c r="I9" s="15">
        <f t="shared" si="20"/>
        <v>700000</v>
      </c>
      <c r="J9" s="15">
        <f t="shared" si="20"/>
        <v>690000</v>
      </c>
      <c r="K9" s="65" t="s">
        <v>4</v>
      </c>
      <c r="L9" s="77"/>
      <c r="M9" s="15">
        <f t="shared" ref="M9" si="21">ROUND(SUM(M4:M8),-4)</f>
        <v>650000</v>
      </c>
      <c r="N9" s="15">
        <f t="shared" ref="N9:T9" si="22">ROUND(SUM(N4:N8),-4)</f>
        <v>680000</v>
      </c>
      <c r="O9" s="15">
        <f t="shared" si="22"/>
        <v>690000</v>
      </c>
      <c r="P9" s="15">
        <f t="shared" si="22"/>
        <v>480000</v>
      </c>
      <c r="Q9" s="15">
        <f t="shared" si="22"/>
        <v>500000</v>
      </c>
      <c r="R9" s="15">
        <f t="shared" si="22"/>
        <v>470000</v>
      </c>
      <c r="S9" s="15">
        <f t="shared" si="22"/>
        <v>470000</v>
      </c>
      <c r="T9" s="15">
        <f t="shared" si="22"/>
        <v>490000</v>
      </c>
      <c r="U9" s="65" t="s">
        <v>4</v>
      </c>
      <c r="V9" s="77"/>
      <c r="W9" s="15">
        <f t="shared" ref="W9" si="23">ROUND(SUM(W4:W8),-4)</f>
        <v>780000</v>
      </c>
      <c r="X9" s="15">
        <f t="shared" ref="X9:AD9" si="24">ROUND(SUM(X4:X8),-4)</f>
        <v>830000</v>
      </c>
      <c r="Y9" s="15">
        <f t="shared" si="24"/>
        <v>1000000</v>
      </c>
      <c r="Z9" s="15">
        <f t="shared" si="24"/>
        <v>600000</v>
      </c>
      <c r="AA9" s="15">
        <f t="shared" si="24"/>
        <v>780000</v>
      </c>
      <c r="AB9" s="15">
        <f t="shared" si="24"/>
        <v>690000</v>
      </c>
      <c r="AC9" s="15">
        <f t="shared" si="24"/>
        <v>930000</v>
      </c>
      <c r="AD9" s="15">
        <f t="shared" si="24"/>
        <v>890000</v>
      </c>
    </row>
    <row r="10" spans="1:30" ht="30" x14ac:dyDescent="0.25">
      <c r="A10" s="67" t="s">
        <v>52</v>
      </c>
      <c r="B10" s="78"/>
      <c r="C10" s="14">
        <f>C15/'Pax Service Overview'!B14</f>
        <v>85.304659498207883</v>
      </c>
      <c r="D10" s="14">
        <f>D15/'Pax Service Overview'!C14</f>
        <v>135.85585585585585</v>
      </c>
      <c r="E10" s="14">
        <f>E15/'Pax Service Overview'!D14</f>
        <v>152.25225225225225</v>
      </c>
      <c r="F10" s="14">
        <f>F15/'Pax Service Overview'!E14</f>
        <v>177.12418300653596</v>
      </c>
      <c r="G10" s="14">
        <f>G15/'Pax Service Overview'!F14</f>
        <v>255.42168674698794</v>
      </c>
      <c r="H10" s="14">
        <f>H15/'Pax Service Overview'!G14</f>
        <v>233.33333333333334</v>
      </c>
      <c r="I10" s="14">
        <f>I15/'Pax Service Overview'!H14</f>
        <v>442.13836477987422</v>
      </c>
      <c r="J10" s="14">
        <f>J15/'Pax Service Overview'!I14</f>
        <v>601.75438596491233</v>
      </c>
      <c r="K10" s="67" t="s">
        <v>52</v>
      </c>
      <c r="L10" s="78"/>
      <c r="M10" s="14">
        <f>M15/'Pax Service Overview'!B14</f>
        <v>77.41935483870968</v>
      </c>
      <c r="N10" s="14">
        <f>N9/'Pax Service Overview'!C14</f>
        <v>122.52252252252252</v>
      </c>
      <c r="O10" s="14">
        <f>O9/'Pax Service Overview'!D14</f>
        <v>124.32432432432432</v>
      </c>
      <c r="P10" s="14">
        <f>P9/'Pax Service Overview'!E14</f>
        <v>156.86274509803923</v>
      </c>
      <c r="Q10" s="14">
        <f>Q9/'Pax Service Overview'!F14</f>
        <v>200.80321285140562</v>
      </c>
      <c r="R10" s="14">
        <f>R9/'Pax Service Overview'!G14</f>
        <v>188.75502008032129</v>
      </c>
      <c r="S10" s="14">
        <f>S9/'Pax Service Overview'!H14</f>
        <v>295.59748427672957</v>
      </c>
      <c r="T10" s="14">
        <f>T9/'Pax Service Overview'!I14</f>
        <v>429.82456140350877</v>
      </c>
      <c r="U10" s="67" t="s">
        <v>52</v>
      </c>
      <c r="V10" s="78"/>
      <c r="W10" s="14">
        <f>W15/'Pax Service Overview'!B14</f>
        <v>93.189964157706086</v>
      </c>
      <c r="X10" s="14">
        <f>X15/'Pax Service Overview'!C14</f>
        <v>149.36936936936937</v>
      </c>
      <c r="Y10" s="14">
        <f>Y15/'Pax Service Overview'!D14</f>
        <v>179.45945945945945</v>
      </c>
      <c r="Z10" s="14">
        <f>Z15/'Pax Service Overview'!E14</f>
        <v>197.05882352941177</v>
      </c>
      <c r="AA10" s="14">
        <f>AA15/'Pax Service Overview'!F14</f>
        <v>311.24497991967871</v>
      </c>
      <c r="AB10" s="14">
        <f>AB15/'Pax Service Overview'!G14</f>
        <v>276.70682730923693</v>
      </c>
      <c r="AC10" s="14">
        <f>AC15/'Pax Service Overview'!H14</f>
        <v>585.53459119496858</v>
      </c>
      <c r="AD10" s="14">
        <f>AD15/'Pax Service Overview'!I14</f>
        <v>778.07017543859649</v>
      </c>
    </row>
    <row r="11" spans="1:30" ht="30" x14ac:dyDescent="0.25">
      <c r="A11" s="66" t="s">
        <v>53</v>
      </c>
      <c r="B11" s="79"/>
      <c r="C11" s="32">
        <f>+C15/'Pax Service Overview'!$B13</f>
        <v>626.31578947368416</v>
      </c>
      <c r="D11" s="32">
        <f>+D15/'Pax Service Overview'!$B13</f>
        <v>661.40350877192986</v>
      </c>
      <c r="E11" s="32">
        <f>+E15/'Pax Service Overview'!$B13</f>
        <v>741.22807017543857</v>
      </c>
      <c r="F11" s="32">
        <f>+F15/'Pax Service Overview'!$B13</f>
        <v>475.43859649122805</v>
      </c>
      <c r="G11" s="32">
        <f>+G15/'Pax Service Overview'!$B13</f>
        <v>557.89473684210532</v>
      </c>
      <c r="H11" s="32">
        <f>+H15/'Pax Service Overview'!$B13</f>
        <v>509.64912280701753</v>
      </c>
      <c r="I11" s="32">
        <f>+I15/'Pax Service Overview'!$B13</f>
        <v>616.66666666666663</v>
      </c>
      <c r="J11" s="32">
        <f>+J15/'Pax Service Overview'!$B13</f>
        <v>601.75438596491233</v>
      </c>
      <c r="K11" s="66" t="s">
        <v>53</v>
      </c>
      <c r="L11" s="79"/>
      <c r="M11" s="32">
        <f>+M15/'Pax Service Overview'!$B13</f>
        <v>568.42105263157896</v>
      </c>
      <c r="N11" s="32">
        <f>+N15/'Pax Service Overview'!$B13</f>
        <v>596.49122807017545</v>
      </c>
      <c r="O11" s="32">
        <f>+O15/'Pax Service Overview'!$B13</f>
        <v>608.77192982456143</v>
      </c>
      <c r="P11" s="32">
        <f>+P15/'Pax Service Overview'!$B13</f>
        <v>421.92982456140351</v>
      </c>
      <c r="Q11" s="32">
        <f>+Q15/'Pax Service Overview'!$B13</f>
        <v>435.08771929824559</v>
      </c>
      <c r="R11" s="32">
        <f>+R15/'Pax Service Overview'!$B13</f>
        <v>414.91228070175441</v>
      </c>
      <c r="S11" s="32">
        <f>+S15/'Pax Service Overview'!$B13</f>
        <v>416.66666666666669</v>
      </c>
      <c r="T11" s="32">
        <f>+T15/'Pax Service Overview'!$B13</f>
        <v>425.43859649122805</v>
      </c>
      <c r="U11" s="66" t="s">
        <v>53</v>
      </c>
      <c r="V11" s="79"/>
      <c r="W11" s="32">
        <f>+W15/'Pax Service Overview'!$B13</f>
        <v>684.21052631578948</v>
      </c>
      <c r="X11" s="32">
        <f>+X15/'Pax Service Overview'!$B13</f>
        <v>727.19298245614038</v>
      </c>
      <c r="Y11" s="32">
        <f>+Y15/'Pax Service Overview'!$B13</f>
        <v>873.68421052631584</v>
      </c>
      <c r="Z11" s="32">
        <f>+Z15/'Pax Service Overview'!$B13</f>
        <v>528.9473684210526</v>
      </c>
      <c r="AA11" s="32">
        <f>+AA15/'Pax Service Overview'!$B13</f>
        <v>679.82456140350882</v>
      </c>
      <c r="AB11" s="32">
        <f>+AB15/'Pax Service Overview'!$B13</f>
        <v>604.38596491228066</v>
      </c>
      <c r="AC11" s="32">
        <f>+AC15/'Pax Service Overview'!$B13</f>
        <v>816.66666666666663</v>
      </c>
      <c r="AD11" s="32">
        <f>+AD15/'Pax Service Overview'!$B13</f>
        <v>778.07017543859649</v>
      </c>
    </row>
    <row r="12" spans="1:30" ht="9" customHeight="1" x14ac:dyDescent="0.25"/>
    <row r="13" spans="1:30" ht="30" x14ac:dyDescent="0.25">
      <c r="A13" s="38" t="s">
        <v>75</v>
      </c>
      <c r="B13" s="34"/>
      <c r="C13" s="37"/>
      <c r="D13" s="37"/>
      <c r="E13" s="35"/>
      <c r="F13" s="35"/>
      <c r="G13" s="35"/>
      <c r="H13" s="35"/>
      <c r="I13" s="35"/>
      <c r="J13" s="35"/>
      <c r="K13" s="38" t="s">
        <v>75</v>
      </c>
      <c r="L13" s="34"/>
      <c r="M13" s="37"/>
      <c r="N13" s="37"/>
      <c r="O13" s="35"/>
      <c r="P13" s="35"/>
      <c r="Q13" s="35"/>
      <c r="R13" s="35"/>
      <c r="S13" s="35"/>
      <c r="T13" s="35"/>
      <c r="U13" s="38" t="s">
        <v>75</v>
      </c>
      <c r="V13" s="34"/>
      <c r="W13" s="37"/>
      <c r="X13" s="37"/>
      <c r="Y13" s="35"/>
      <c r="Z13" s="35"/>
      <c r="AA13" s="35"/>
      <c r="AB13" s="35"/>
      <c r="AC13" s="35"/>
      <c r="AD13" s="35"/>
    </row>
    <row r="14" spans="1:30" x14ac:dyDescent="0.25">
      <c r="A14" s="4" t="s">
        <v>42</v>
      </c>
      <c r="B14" s="33">
        <v>0</v>
      </c>
      <c r="C14" s="14">
        <f t="shared" ref="C14:J23" si="25">ROUND(C41+C69+C97,-3)</f>
        <v>0</v>
      </c>
      <c r="D14" s="14">
        <f t="shared" si="25"/>
        <v>0</v>
      </c>
      <c r="E14" s="14">
        <f t="shared" si="25"/>
        <v>0</v>
      </c>
      <c r="F14" s="14">
        <f t="shared" si="25"/>
        <v>0</v>
      </c>
      <c r="G14" s="14">
        <f t="shared" si="25"/>
        <v>0</v>
      </c>
      <c r="H14" s="14">
        <f t="shared" si="25"/>
        <v>0</v>
      </c>
      <c r="I14" s="14">
        <f t="shared" si="25"/>
        <v>0</v>
      </c>
      <c r="J14" s="14">
        <f t="shared" si="25"/>
        <v>0</v>
      </c>
      <c r="K14" s="4" t="s">
        <v>42</v>
      </c>
      <c r="L14" s="33">
        <v>0</v>
      </c>
      <c r="M14" s="14">
        <f t="shared" ref="M14:T23" si="26">ROUND(M41+M69+M97,-3)</f>
        <v>0</v>
      </c>
      <c r="N14" s="14">
        <f t="shared" si="26"/>
        <v>0</v>
      </c>
      <c r="O14" s="14">
        <f t="shared" si="26"/>
        <v>0</v>
      </c>
      <c r="P14" s="14">
        <f t="shared" si="26"/>
        <v>0</v>
      </c>
      <c r="Q14" s="14">
        <f t="shared" si="26"/>
        <v>0</v>
      </c>
      <c r="R14" s="14">
        <f t="shared" si="26"/>
        <v>0</v>
      </c>
      <c r="S14" s="14">
        <f t="shared" si="26"/>
        <v>0</v>
      </c>
      <c r="T14" s="14">
        <f t="shared" si="26"/>
        <v>0</v>
      </c>
      <c r="U14" s="4" t="s">
        <v>42</v>
      </c>
      <c r="V14" s="33">
        <v>0</v>
      </c>
      <c r="W14" s="14">
        <f t="shared" ref="W14:AD23" si="27">ROUND(W41+W69+W97,-3)</f>
        <v>0</v>
      </c>
      <c r="X14" s="14">
        <f t="shared" si="27"/>
        <v>0</v>
      </c>
      <c r="Y14" s="14">
        <f t="shared" si="27"/>
        <v>0</v>
      </c>
      <c r="Z14" s="14">
        <f t="shared" si="27"/>
        <v>0</v>
      </c>
      <c r="AA14" s="14">
        <f t="shared" si="27"/>
        <v>0</v>
      </c>
      <c r="AB14" s="14">
        <f t="shared" si="27"/>
        <v>0</v>
      </c>
      <c r="AC14" s="14">
        <f t="shared" si="27"/>
        <v>0</v>
      </c>
      <c r="AD14" s="14">
        <f t="shared" si="27"/>
        <v>0</v>
      </c>
    </row>
    <row r="15" spans="1:30" x14ac:dyDescent="0.25">
      <c r="A15" s="4" t="s">
        <v>42</v>
      </c>
      <c r="B15" s="33">
        <v>1</v>
      </c>
      <c r="C15" s="14">
        <f t="shared" si="25"/>
        <v>714000</v>
      </c>
      <c r="D15" s="14">
        <f t="shared" si="25"/>
        <v>754000</v>
      </c>
      <c r="E15" s="14">
        <f t="shared" si="25"/>
        <v>845000</v>
      </c>
      <c r="F15" s="14">
        <f t="shared" si="25"/>
        <v>542000</v>
      </c>
      <c r="G15" s="14">
        <f t="shared" si="25"/>
        <v>636000</v>
      </c>
      <c r="H15" s="14">
        <f t="shared" si="25"/>
        <v>581000</v>
      </c>
      <c r="I15" s="14">
        <f t="shared" si="25"/>
        <v>703000</v>
      </c>
      <c r="J15" s="14">
        <f t="shared" si="25"/>
        <v>686000</v>
      </c>
      <c r="K15" s="4" t="s">
        <v>42</v>
      </c>
      <c r="L15" s="33">
        <v>1</v>
      </c>
      <c r="M15" s="14">
        <f t="shared" si="26"/>
        <v>648000</v>
      </c>
      <c r="N15" s="14">
        <f t="shared" si="26"/>
        <v>680000</v>
      </c>
      <c r="O15" s="14">
        <f t="shared" si="26"/>
        <v>694000</v>
      </c>
      <c r="P15" s="14">
        <f t="shared" si="26"/>
        <v>481000</v>
      </c>
      <c r="Q15" s="14">
        <f t="shared" si="26"/>
        <v>496000</v>
      </c>
      <c r="R15" s="14">
        <f t="shared" si="26"/>
        <v>473000</v>
      </c>
      <c r="S15" s="14">
        <f t="shared" si="26"/>
        <v>475000</v>
      </c>
      <c r="T15" s="14">
        <f t="shared" si="26"/>
        <v>485000</v>
      </c>
      <c r="U15" s="4" t="s">
        <v>42</v>
      </c>
      <c r="V15" s="33">
        <v>1</v>
      </c>
      <c r="W15" s="14">
        <f t="shared" si="27"/>
        <v>780000</v>
      </c>
      <c r="X15" s="14">
        <f t="shared" si="27"/>
        <v>829000</v>
      </c>
      <c r="Y15" s="14">
        <f t="shared" si="27"/>
        <v>996000</v>
      </c>
      <c r="Z15" s="14">
        <f t="shared" si="27"/>
        <v>603000</v>
      </c>
      <c r="AA15" s="14">
        <f t="shared" si="27"/>
        <v>775000</v>
      </c>
      <c r="AB15" s="14">
        <f t="shared" si="27"/>
        <v>689000</v>
      </c>
      <c r="AC15" s="14">
        <f t="shared" si="27"/>
        <v>931000</v>
      </c>
      <c r="AD15" s="14">
        <f t="shared" si="27"/>
        <v>887000</v>
      </c>
    </row>
    <row r="16" spans="1:30" x14ac:dyDescent="0.25">
      <c r="A16" s="4" t="s">
        <v>42</v>
      </c>
      <c r="B16" s="33">
        <v>2</v>
      </c>
      <c r="C16" s="14">
        <f t="shared" si="25"/>
        <v>741000</v>
      </c>
      <c r="D16" s="14">
        <f t="shared" si="25"/>
        <v>784000</v>
      </c>
      <c r="E16" s="14">
        <f t="shared" si="25"/>
        <v>880000</v>
      </c>
      <c r="F16" s="14">
        <f t="shared" si="25"/>
        <v>563000</v>
      </c>
      <c r="G16" s="14">
        <f t="shared" si="25"/>
        <v>663000</v>
      </c>
      <c r="H16" s="14">
        <f t="shared" si="25"/>
        <v>606000</v>
      </c>
      <c r="I16" s="14">
        <f t="shared" si="25"/>
        <v>735000</v>
      </c>
      <c r="J16" s="14">
        <f t="shared" si="25"/>
        <v>718000</v>
      </c>
      <c r="K16" s="4" t="s">
        <v>42</v>
      </c>
      <c r="L16" s="33">
        <v>2</v>
      </c>
      <c r="M16" s="14">
        <f t="shared" si="26"/>
        <v>672000</v>
      </c>
      <c r="N16" s="14">
        <f t="shared" si="26"/>
        <v>706000</v>
      </c>
      <c r="O16" s="14">
        <f t="shared" si="26"/>
        <v>722000</v>
      </c>
      <c r="P16" s="14">
        <f t="shared" si="26"/>
        <v>499000</v>
      </c>
      <c r="Q16" s="14">
        <f t="shared" si="26"/>
        <v>517000</v>
      </c>
      <c r="R16" s="14">
        <f t="shared" si="26"/>
        <v>492000</v>
      </c>
      <c r="S16" s="14">
        <f t="shared" si="26"/>
        <v>497000</v>
      </c>
      <c r="T16" s="14">
        <f t="shared" si="26"/>
        <v>508000</v>
      </c>
      <c r="U16" s="4" t="s">
        <v>42</v>
      </c>
      <c r="V16" s="33">
        <v>2</v>
      </c>
      <c r="W16" s="14">
        <f t="shared" si="27"/>
        <v>809000</v>
      </c>
      <c r="X16" s="14">
        <f t="shared" si="27"/>
        <v>862000</v>
      </c>
      <c r="Y16" s="14">
        <f t="shared" si="27"/>
        <v>1038000</v>
      </c>
      <c r="Z16" s="14">
        <f t="shared" si="27"/>
        <v>627000</v>
      </c>
      <c r="AA16" s="14">
        <f t="shared" si="27"/>
        <v>809000</v>
      </c>
      <c r="AB16" s="14">
        <f t="shared" si="27"/>
        <v>721000</v>
      </c>
      <c r="AC16" s="14">
        <f t="shared" si="27"/>
        <v>973000</v>
      </c>
      <c r="AD16" s="14">
        <f t="shared" si="27"/>
        <v>928000</v>
      </c>
    </row>
    <row r="17" spans="1:30" x14ac:dyDescent="0.25">
      <c r="A17" s="4" t="s">
        <v>42</v>
      </c>
      <c r="B17" s="33">
        <v>3</v>
      </c>
      <c r="C17" s="14">
        <f t="shared" si="25"/>
        <v>769000</v>
      </c>
      <c r="D17" s="14">
        <f t="shared" si="25"/>
        <v>815000</v>
      </c>
      <c r="E17" s="14">
        <f t="shared" si="25"/>
        <v>917000</v>
      </c>
      <c r="F17" s="14">
        <f t="shared" si="25"/>
        <v>585000</v>
      </c>
      <c r="G17" s="14">
        <f t="shared" si="25"/>
        <v>692000</v>
      </c>
      <c r="H17" s="14">
        <f t="shared" si="25"/>
        <v>634000</v>
      </c>
      <c r="I17" s="14">
        <f t="shared" si="25"/>
        <v>769000</v>
      </c>
      <c r="J17" s="14">
        <f t="shared" si="25"/>
        <v>753000</v>
      </c>
      <c r="K17" s="4" t="s">
        <v>42</v>
      </c>
      <c r="L17" s="33">
        <v>3</v>
      </c>
      <c r="M17" s="14">
        <f t="shared" si="26"/>
        <v>698000</v>
      </c>
      <c r="N17" s="14">
        <f t="shared" si="26"/>
        <v>733000</v>
      </c>
      <c r="O17" s="14">
        <f t="shared" si="26"/>
        <v>751000</v>
      </c>
      <c r="P17" s="14">
        <f t="shared" si="26"/>
        <v>518000</v>
      </c>
      <c r="Q17" s="14">
        <f t="shared" si="26"/>
        <v>539000</v>
      </c>
      <c r="R17" s="14">
        <f t="shared" si="26"/>
        <v>512000</v>
      </c>
      <c r="S17" s="14">
        <f t="shared" si="26"/>
        <v>521000</v>
      </c>
      <c r="T17" s="14">
        <f t="shared" si="26"/>
        <v>533000</v>
      </c>
      <c r="U17" s="4" t="s">
        <v>42</v>
      </c>
      <c r="V17" s="33">
        <v>3</v>
      </c>
      <c r="W17" s="14">
        <f t="shared" si="27"/>
        <v>840000</v>
      </c>
      <c r="X17" s="14">
        <f t="shared" si="27"/>
        <v>896000</v>
      </c>
      <c r="Y17" s="14">
        <f t="shared" si="27"/>
        <v>1082000</v>
      </c>
      <c r="Z17" s="14">
        <f t="shared" si="27"/>
        <v>652000</v>
      </c>
      <c r="AA17" s="14">
        <f t="shared" si="27"/>
        <v>844000</v>
      </c>
      <c r="AB17" s="14">
        <f t="shared" si="27"/>
        <v>755000</v>
      </c>
      <c r="AC17" s="14">
        <f t="shared" si="27"/>
        <v>1017000</v>
      </c>
      <c r="AD17" s="14">
        <f t="shared" si="27"/>
        <v>973000</v>
      </c>
    </row>
    <row r="18" spans="1:30" x14ac:dyDescent="0.25">
      <c r="A18" s="4" t="s">
        <v>42</v>
      </c>
      <c r="B18" s="33">
        <v>4</v>
      </c>
      <c r="C18" s="14">
        <f t="shared" si="25"/>
        <v>799000</v>
      </c>
      <c r="D18" s="14">
        <f t="shared" si="25"/>
        <v>848000</v>
      </c>
      <c r="E18" s="14">
        <f t="shared" si="25"/>
        <v>956000</v>
      </c>
      <c r="F18" s="14">
        <f t="shared" si="25"/>
        <v>608000</v>
      </c>
      <c r="G18" s="14">
        <f t="shared" si="25"/>
        <v>723000</v>
      </c>
      <c r="H18" s="14">
        <f t="shared" si="25"/>
        <v>663000</v>
      </c>
      <c r="I18" s="14">
        <f t="shared" si="25"/>
        <v>806000</v>
      </c>
      <c r="J18" s="14">
        <f t="shared" si="25"/>
        <v>790000</v>
      </c>
      <c r="K18" s="4" t="s">
        <v>42</v>
      </c>
      <c r="L18" s="33">
        <v>4</v>
      </c>
      <c r="M18" s="14">
        <f t="shared" si="26"/>
        <v>726000</v>
      </c>
      <c r="N18" s="14">
        <f t="shared" si="26"/>
        <v>763000</v>
      </c>
      <c r="O18" s="14">
        <f t="shared" si="26"/>
        <v>783000</v>
      </c>
      <c r="P18" s="14">
        <f t="shared" si="26"/>
        <v>538000</v>
      </c>
      <c r="Q18" s="14">
        <f t="shared" si="26"/>
        <v>563000</v>
      </c>
      <c r="R18" s="14">
        <f t="shared" si="26"/>
        <v>534000</v>
      </c>
      <c r="S18" s="14">
        <f t="shared" si="26"/>
        <v>547000</v>
      </c>
      <c r="T18" s="14">
        <f t="shared" si="26"/>
        <v>559000</v>
      </c>
      <c r="U18" s="4" t="s">
        <v>42</v>
      </c>
      <c r="V18" s="33">
        <v>4</v>
      </c>
      <c r="W18" s="14">
        <f t="shared" si="27"/>
        <v>872000</v>
      </c>
      <c r="X18" s="14">
        <f t="shared" si="27"/>
        <v>933000</v>
      </c>
      <c r="Y18" s="14">
        <f t="shared" si="27"/>
        <v>1129000</v>
      </c>
      <c r="Z18" s="14">
        <f t="shared" si="27"/>
        <v>678000</v>
      </c>
      <c r="AA18" s="14">
        <f t="shared" si="27"/>
        <v>883000</v>
      </c>
      <c r="AB18" s="14">
        <f t="shared" si="27"/>
        <v>792000</v>
      </c>
      <c r="AC18" s="14">
        <f t="shared" si="27"/>
        <v>1065000</v>
      </c>
      <c r="AD18" s="14">
        <f t="shared" si="27"/>
        <v>1021000</v>
      </c>
    </row>
    <row r="19" spans="1:30" x14ac:dyDescent="0.25">
      <c r="A19" s="4" t="s">
        <v>42</v>
      </c>
      <c r="B19" s="33">
        <v>5</v>
      </c>
      <c r="C19" s="14">
        <f t="shared" si="25"/>
        <v>831000</v>
      </c>
      <c r="D19" s="14">
        <f t="shared" si="25"/>
        <v>883000</v>
      </c>
      <c r="E19" s="14">
        <f t="shared" si="25"/>
        <v>998000</v>
      </c>
      <c r="F19" s="14">
        <f t="shared" si="25"/>
        <v>633000</v>
      </c>
      <c r="G19" s="14">
        <f t="shared" si="25"/>
        <v>756000</v>
      </c>
      <c r="H19" s="14">
        <f t="shared" si="25"/>
        <v>694000</v>
      </c>
      <c r="I19" s="14">
        <f t="shared" si="25"/>
        <v>846000</v>
      </c>
      <c r="J19" s="14">
        <f t="shared" si="25"/>
        <v>830000</v>
      </c>
      <c r="K19" s="4" t="s">
        <v>42</v>
      </c>
      <c r="L19" s="33">
        <v>5</v>
      </c>
      <c r="M19" s="14">
        <f t="shared" si="26"/>
        <v>755000</v>
      </c>
      <c r="N19" s="14">
        <f t="shared" si="26"/>
        <v>794000</v>
      </c>
      <c r="O19" s="14">
        <f t="shared" si="26"/>
        <v>817000</v>
      </c>
      <c r="P19" s="14">
        <f t="shared" si="26"/>
        <v>560000</v>
      </c>
      <c r="Q19" s="14">
        <f t="shared" si="26"/>
        <v>589000</v>
      </c>
      <c r="R19" s="14">
        <f t="shared" si="26"/>
        <v>557000</v>
      </c>
      <c r="S19" s="14">
        <f t="shared" si="26"/>
        <v>575000</v>
      </c>
      <c r="T19" s="14">
        <f t="shared" si="26"/>
        <v>588000</v>
      </c>
      <c r="U19" s="4" t="s">
        <v>42</v>
      </c>
      <c r="V19" s="33">
        <v>5</v>
      </c>
      <c r="W19" s="14">
        <f t="shared" si="27"/>
        <v>906000</v>
      </c>
      <c r="X19" s="14">
        <f t="shared" si="27"/>
        <v>972000</v>
      </c>
      <c r="Y19" s="14">
        <f t="shared" si="27"/>
        <v>1179000</v>
      </c>
      <c r="Z19" s="14">
        <f t="shared" si="27"/>
        <v>707000</v>
      </c>
      <c r="AA19" s="14">
        <f t="shared" si="27"/>
        <v>923000</v>
      </c>
      <c r="AB19" s="14">
        <f t="shared" si="27"/>
        <v>832000</v>
      </c>
      <c r="AC19" s="14">
        <f t="shared" si="27"/>
        <v>1116000</v>
      </c>
      <c r="AD19" s="14">
        <f t="shared" si="27"/>
        <v>1072000</v>
      </c>
    </row>
    <row r="20" spans="1:30" x14ac:dyDescent="0.25">
      <c r="A20" s="4" t="s">
        <v>42</v>
      </c>
      <c r="B20" s="33">
        <v>6</v>
      </c>
      <c r="C20" s="14">
        <f t="shared" si="25"/>
        <v>864000</v>
      </c>
      <c r="D20" s="14">
        <f t="shared" si="25"/>
        <v>921000</v>
      </c>
      <c r="E20" s="14">
        <f t="shared" si="25"/>
        <v>1042000</v>
      </c>
      <c r="F20" s="14">
        <f t="shared" si="25"/>
        <v>660000</v>
      </c>
      <c r="G20" s="14">
        <f t="shared" si="25"/>
        <v>792000</v>
      </c>
      <c r="H20" s="14">
        <f t="shared" si="25"/>
        <v>728000</v>
      </c>
      <c r="I20" s="14">
        <f t="shared" si="25"/>
        <v>888000</v>
      </c>
      <c r="J20" s="14">
        <f t="shared" si="25"/>
        <v>873000</v>
      </c>
      <c r="K20" s="4" t="s">
        <v>42</v>
      </c>
      <c r="L20" s="33">
        <v>6</v>
      </c>
      <c r="M20" s="14">
        <f t="shared" si="26"/>
        <v>787000</v>
      </c>
      <c r="N20" s="14">
        <f t="shared" si="26"/>
        <v>827000</v>
      </c>
      <c r="O20" s="14">
        <f t="shared" si="26"/>
        <v>853000</v>
      </c>
      <c r="P20" s="14">
        <f t="shared" si="26"/>
        <v>583000</v>
      </c>
      <c r="Q20" s="14">
        <f t="shared" si="26"/>
        <v>616000</v>
      </c>
      <c r="R20" s="14">
        <f t="shared" si="26"/>
        <v>581000</v>
      </c>
      <c r="S20" s="14">
        <f t="shared" si="26"/>
        <v>606000</v>
      </c>
      <c r="T20" s="14">
        <f t="shared" si="26"/>
        <v>618000</v>
      </c>
      <c r="U20" s="4" t="s">
        <v>42</v>
      </c>
      <c r="V20" s="33">
        <v>6</v>
      </c>
      <c r="W20" s="14">
        <f t="shared" si="27"/>
        <v>942000</v>
      </c>
      <c r="X20" s="14">
        <f t="shared" si="27"/>
        <v>1014000</v>
      </c>
      <c r="Y20" s="14">
        <f t="shared" si="27"/>
        <v>1232000</v>
      </c>
      <c r="Z20" s="14">
        <f t="shared" si="27"/>
        <v>737000</v>
      </c>
      <c r="AA20" s="14">
        <f t="shared" si="27"/>
        <v>967000</v>
      </c>
      <c r="AB20" s="14">
        <f t="shared" si="27"/>
        <v>874000</v>
      </c>
      <c r="AC20" s="14">
        <f t="shared" si="27"/>
        <v>1170000</v>
      </c>
      <c r="AD20" s="14">
        <f t="shared" si="27"/>
        <v>1127000</v>
      </c>
    </row>
    <row r="21" spans="1:30" x14ac:dyDescent="0.25">
      <c r="A21" s="4" t="s">
        <v>42</v>
      </c>
      <c r="B21" s="33">
        <v>7</v>
      </c>
      <c r="C21" s="14">
        <f t="shared" si="25"/>
        <v>900000</v>
      </c>
      <c r="D21" s="14">
        <f t="shared" si="25"/>
        <v>961000</v>
      </c>
      <c r="E21" s="14">
        <f t="shared" si="25"/>
        <v>1090000</v>
      </c>
      <c r="F21" s="14">
        <f t="shared" si="25"/>
        <v>688000</v>
      </c>
      <c r="G21" s="14">
        <f t="shared" si="25"/>
        <v>830000</v>
      </c>
      <c r="H21" s="14">
        <f t="shared" si="25"/>
        <v>764000</v>
      </c>
      <c r="I21" s="14">
        <f t="shared" si="25"/>
        <v>933000</v>
      </c>
      <c r="J21" s="14">
        <f t="shared" si="25"/>
        <v>919000</v>
      </c>
      <c r="K21" s="4" t="s">
        <v>42</v>
      </c>
      <c r="L21" s="33">
        <v>7</v>
      </c>
      <c r="M21" s="14">
        <f t="shared" si="26"/>
        <v>820000</v>
      </c>
      <c r="N21" s="14">
        <f t="shared" si="26"/>
        <v>863000</v>
      </c>
      <c r="O21" s="14">
        <f t="shared" si="26"/>
        <v>892000</v>
      </c>
      <c r="P21" s="14">
        <f t="shared" si="26"/>
        <v>608000</v>
      </c>
      <c r="Q21" s="14">
        <f t="shared" si="26"/>
        <v>646000</v>
      </c>
      <c r="R21" s="14">
        <f t="shared" si="26"/>
        <v>608000</v>
      </c>
      <c r="S21" s="14">
        <f t="shared" si="26"/>
        <v>638000</v>
      </c>
      <c r="T21" s="14">
        <f t="shared" si="26"/>
        <v>652000</v>
      </c>
      <c r="U21" s="4" t="s">
        <v>42</v>
      </c>
      <c r="V21" s="33">
        <v>7</v>
      </c>
      <c r="W21" s="14">
        <f t="shared" si="27"/>
        <v>981000</v>
      </c>
      <c r="X21" s="14">
        <f t="shared" si="27"/>
        <v>1058000</v>
      </c>
      <c r="Y21" s="14">
        <f t="shared" si="27"/>
        <v>1288000</v>
      </c>
      <c r="Z21" s="14">
        <f t="shared" si="27"/>
        <v>769000</v>
      </c>
      <c r="AA21" s="14">
        <f t="shared" si="27"/>
        <v>1013000</v>
      </c>
      <c r="AB21" s="14">
        <f t="shared" si="27"/>
        <v>920000</v>
      </c>
      <c r="AC21" s="14">
        <f t="shared" si="27"/>
        <v>1228000</v>
      </c>
      <c r="AD21" s="14">
        <f t="shared" si="27"/>
        <v>1186000</v>
      </c>
    </row>
    <row r="22" spans="1:30" x14ac:dyDescent="0.25">
      <c r="A22" s="4" t="s">
        <v>42</v>
      </c>
      <c r="B22" s="33">
        <v>8</v>
      </c>
      <c r="C22" s="14">
        <f t="shared" si="25"/>
        <v>939000</v>
      </c>
      <c r="D22" s="14">
        <f t="shared" si="25"/>
        <v>1004000</v>
      </c>
      <c r="E22" s="14">
        <f t="shared" si="25"/>
        <v>1141000</v>
      </c>
      <c r="F22" s="14">
        <f t="shared" si="25"/>
        <v>719000</v>
      </c>
      <c r="G22" s="14">
        <f t="shared" si="25"/>
        <v>870000</v>
      </c>
      <c r="H22" s="14">
        <f t="shared" si="25"/>
        <v>803000</v>
      </c>
      <c r="I22" s="14">
        <f t="shared" si="25"/>
        <v>982000</v>
      </c>
      <c r="J22" s="14">
        <f t="shared" si="25"/>
        <v>969000</v>
      </c>
      <c r="K22" s="4" t="s">
        <v>42</v>
      </c>
      <c r="L22" s="33">
        <v>8</v>
      </c>
      <c r="M22" s="14">
        <f t="shared" si="26"/>
        <v>856000</v>
      </c>
      <c r="N22" s="14">
        <f t="shared" si="26"/>
        <v>901000</v>
      </c>
      <c r="O22" s="14">
        <f t="shared" si="26"/>
        <v>933000</v>
      </c>
      <c r="P22" s="14">
        <f t="shared" si="26"/>
        <v>634000</v>
      </c>
      <c r="Q22" s="14">
        <f t="shared" si="26"/>
        <v>678000</v>
      </c>
      <c r="R22" s="14">
        <f t="shared" si="26"/>
        <v>636000</v>
      </c>
      <c r="S22" s="14">
        <f t="shared" si="26"/>
        <v>674000</v>
      </c>
      <c r="T22" s="14">
        <f t="shared" si="26"/>
        <v>688000</v>
      </c>
      <c r="U22" s="4" t="s">
        <v>42</v>
      </c>
      <c r="V22" s="33">
        <v>8</v>
      </c>
      <c r="W22" s="14">
        <f t="shared" si="27"/>
        <v>1021000</v>
      </c>
      <c r="X22" s="14">
        <f t="shared" si="27"/>
        <v>1106000</v>
      </c>
      <c r="Y22" s="14">
        <f t="shared" si="27"/>
        <v>1348000</v>
      </c>
      <c r="Z22" s="14">
        <f t="shared" si="27"/>
        <v>803000</v>
      </c>
      <c r="AA22" s="14">
        <f t="shared" si="27"/>
        <v>1063000</v>
      </c>
      <c r="AB22" s="14">
        <f t="shared" si="27"/>
        <v>970000</v>
      </c>
      <c r="AC22" s="14">
        <f t="shared" si="27"/>
        <v>1291000</v>
      </c>
      <c r="AD22" s="14">
        <f t="shared" si="27"/>
        <v>1250000</v>
      </c>
    </row>
    <row r="23" spans="1:30" x14ac:dyDescent="0.25">
      <c r="A23" s="4" t="s">
        <v>42</v>
      </c>
      <c r="B23" s="33">
        <v>9</v>
      </c>
      <c r="C23" s="14">
        <f t="shared" si="25"/>
        <v>980000</v>
      </c>
      <c r="D23" s="14">
        <f t="shared" si="25"/>
        <v>1049000</v>
      </c>
      <c r="E23" s="14">
        <f t="shared" si="25"/>
        <v>1195000</v>
      </c>
      <c r="F23" s="14">
        <f t="shared" si="25"/>
        <v>751000</v>
      </c>
      <c r="G23" s="14">
        <f t="shared" si="25"/>
        <v>914000</v>
      </c>
      <c r="H23" s="14">
        <f t="shared" si="25"/>
        <v>845000</v>
      </c>
      <c r="I23" s="14">
        <f t="shared" si="25"/>
        <v>1035000</v>
      </c>
      <c r="J23" s="14">
        <f t="shared" si="25"/>
        <v>1022000</v>
      </c>
      <c r="K23" s="4" t="s">
        <v>42</v>
      </c>
      <c r="L23" s="33">
        <v>9</v>
      </c>
      <c r="M23" s="14">
        <f t="shared" si="26"/>
        <v>894000</v>
      </c>
      <c r="N23" s="14">
        <f t="shared" si="26"/>
        <v>942000</v>
      </c>
      <c r="O23" s="14">
        <f t="shared" si="26"/>
        <v>978000</v>
      </c>
      <c r="P23" s="14">
        <f t="shared" si="26"/>
        <v>663000</v>
      </c>
      <c r="Q23" s="14">
        <f t="shared" si="26"/>
        <v>713000</v>
      </c>
      <c r="R23" s="14">
        <f t="shared" si="26"/>
        <v>667000</v>
      </c>
      <c r="S23" s="14">
        <f t="shared" si="26"/>
        <v>712000</v>
      </c>
      <c r="T23" s="14">
        <f t="shared" si="26"/>
        <v>727000</v>
      </c>
      <c r="U23" s="4" t="s">
        <v>42</v>
      </c>
      <c r="V23" s="33">
        <v>9</v>
      </c>
      <c r="W23" s="14">
        <f t="shared" si="27"/>
        <v>1065000</v>
      </c>
      <c r="X23" s="14">
        <f t="shared" si="27"/>
        <v>1157000</v>
      </c>
      <c r="Y23" s="14">
        <f t="shared" si="27"/>
        <v>1413000</v>
      </c>
      <c r="Z23" s="14">
        <f t="shared" si="27"/>
        <v>840000</v>
      </c>
      <c r="AA23" s="14">
        <f t="shared" si="27"/>
        <v>1116000</v>
      </c>
      <c r="AB23" s="14">
        <f t="shared" si="27"/>
        <v>1023000</v>
      </c>
      <c r="AC23" s="14">
        <f t="shared" si="27"/>
        <v>1357000</v>
      </c>
      <c r="AD23" s="14">
        <f t="shared" si="27"/>
        <v>1318000</v>
      </c>
    </row>
    <row r="24" spans="1:30" x14ac:dyDescent="0.25">
      <c r="A24" s="4" t="s">
        <v>42</v>
      </c>
      <c r="B24" s="33">
        <v>10</v>
      </c>
      <c r="C24" s="14">
        <f t="shared" ref="C24:J29" si="28">ROUND(C51+C79+C107,-3)</f>
        <v>1023000</v>
      </c>
      <c r="D24" s="14">
        <f t="shared" si="28"/>
        <v>1099000</v>
      </c>
      <c r="E24" s="14">
        <f t="shared" si="28"/>
        <v>1254000</v>
      </c>
      <c r="F24" s="14">
        <f t="shared" si="28"/>
        <v>786000</v>
      </c>
      <c r="G24" s="14">
        <f t="shared" si="28"/>
        <v>961000</v>
      </c>
      <c r="H24" s="14">
        <f t="shared" si="28"/>
        <v>890000</v>
      </c>
      <c r="I24" s="14">
        <f t="shared" si="28"/>
        <v>1091000</v>
      </c>
      <c r="J24" s="14">
        <f t="shared" si="28"/>
        <v>1081000</v>
      </c>
      <c r="K24" s="4" t="s">
        <v>42</v>
      </c>
      <c r="L24" s="33">
        <v>10</v>
      </c>
      <c r="M24" s="14">
        <f t="shared" ref="M24:T29" si="29">ROUND(M51+M79+M107,-3)</f>
        <v>936000</v>
      </c>
      <c r="N24" s="14">
        <f t="shared" si="29"/>
        <v>986000</v>
      </c>
      <c r="O24" s="14">
        <f t="shared" si="29"/>
        <v>1026000</v>
      </c>
      <c r="P24" s="14">
        <f t="shared" si="29"/>
        <v>693000</v>
      </c>
      <c r="Q24" s="14">
        <f t="shared" si="29"/>
        <v>750000</v>
      </c>
      <c r="R24" s="14">
        <f t="shared" si="29"/>
        <v>700000</v>
      </c>
      <c r="S24" s="14">
        <f t="shared" si="29"/>
        <v>754000</v>
      </c>
      <c r="T24" s="14">
        <f t="shared" si="29"/>
        <v>769000</v>
      </c>
      <c r="U24" s="4" t="s">
        <v>42</v>
      </c>
      <c r="V24" s="33">
        <v>10</v>
      </c>
      <c r="W24" s="14">
        <f t="shared" ref="W24:AD29" si="30">ROUND(W51+W79+W107,-3)</f>
        <v>1111000</v>
      </c>
      <c r="X24" s="14">
        <f t="shared" si="30"/>
        <v>1211000</v>
      </c>
      <c r="Y24" s="14">
        <f t="shared" si="30"/>
        <v>1482000</v>
      </c>
      <c r="Z24" s="14">
        <f t="shared" si="30"/>
        <v>879000</v>
      </c>
      <c r="AA24" s="14">
        <f t="shared" si="30"/>
        <v>1173000</v>
      </c>
      <c r="AB24" s="14">
        <f t="shared" si="30"/>
        <v>1080000</v>
      </c>
      <c r="AC24" s="14">
        <f t="shared" si="30"/>
        <v>1429000</v>
      </c>
      <c r="AD24" s="14">
        <f t="shared" si="30"/>
        <v>1392000</v>
      </c>
    </row>
    <row r="25" spans="1:30" x14ac:dyDescent="0.25">
      <c r="A25" s="4" t="s">
        <v>42</v>
      </c>
      <c r="B25" s="33">
        <v>11</v>
      </c>
      <c r="C25" s="14">
        <f t="shared" si="28"/>
        <v>1070000</v>
      </c>
      <c r="D25" s="14">
        <f t="shared" si="28"/>
        <v>1151000</v>
      </c>
      <c r="E25" s="14">
        <f t="shared" si="28"/>
        <v>1317000</v>
      </c>
      <c r="F25" s="14">
        <f t="shared" si="28"/>
        <v>823000</v>
      </c>
      <c r="G25" s="14">
        <f t="shared" si="28"/>
        <v>1012000</v>
      </c>
      <c r="H25" s="14">
        <f t="shared" si="28"/>
        <v>939000</v>
      </c>
      <c r="I25" s="14">
        <f t="shared" si="28"/>
        <v>1152000</v>
      </c>
      <c r="J25" s="14">
        <f t="shared" si="28"/>
        <v>1143000</v>
      </c>
      <c r="K25" s="4" t="s">
        <v>42</v>
      </c>
      <c r="L25" s="33">
        <v>11</v>
      </c>
      <c r="M25" s="14">
        <f t="shared" si="29"/>
        <v>980000</v>
      </c>
      <c r="N25" s="14">
        <f t="shared" si="29"/>
        <v>1034000</v>
      </c>
      <c r="O25" s="14">
        <f t="shared" si="29"/>
        <v>1078000</v>
      </c>
      <c r="P25" s="14">
        <f t="shared" si="29"/>
        <v>726000</v>
      </c>
      <c r="Q25" s="14">
        <f t="shared" si="29"/>
        <v>790000</v>
      </c>
      <c r="R25" s="14">
        <f t="shared" si="29"/>
        <v>736000</v>
      </c>
      <c r="S25" s="14">
        <f t="shared" si="29"/>
        <v>799000</v>
      </c>
      <c r="T25" s="14">
        <f t="shared" si="29"/>
        <v>815000</v>
      </c>
      <c r="U25" s="4" t="s">
        <v>42</v>
      </c>
      <c r="V25" s="33">
        <v>11</v>
      </c>
      <c r="W25" s="14">
        <f t="shared" si="30"/>
        <v>1160000</v>
      </c>
      <c r="X25" s="14">
        <f t="shared" si="30"/>
        <v>1269000</v>
      </c>
      <c r="Y25" s="14">
        <f t="shared" si="30"/>
        <v>1556000</v>
      </c>
      <c r="Z25" s="14">
        <f t="shared" si="30"/>
        <v>921000</v>
      </c>
      <c r="AA25" s="14">
        <f t="shared" si="30"/>
        <v>1234000</v>
      </c>
      <c r="AB25" s="14">
        <f t="shared" si="30"/>
        <v>1142000</v>
      </c>
      <c r="AC25" s="14">
        <f t="shared" si="30"/>
        <v>1506000</v>
      </c>
      <c r="AD25" s="14">
        <f t="shared" si="30"/>
        <v>1472000</v>
      </c>
    </row>
    <row r="26" spans="1:30" x14ac:dyDescent="0.25">
      <c r="A26" s="4" t="s">
        <v>42</v>
      </c>
      <c r="B26" s="33">
        <v>12</v>
      </c>
      <c r="C26" s="14">
        <f t="shared" si="28"/>
        <v>1120000</v>
      </c>
      <c r="D26" s="14">
        <f t="shared" si="28"/>
        <v>1208000</v>
      </c>
      <c r="E26" s="14">
        <f t="shared" si="28"/>
        <v>1385000</v>
      </c>
      <c r="F26" s="14">
        <f t="shared" si="28"/>
        <v>864000</v>
      </c>
      <c r="G26" s="14">
        <f t="shared" si="28"/>
        <v>1067000</v>
      </c>
      <c r="H26" s="14">
        <f t="shared" si="28"/>
        <v>992000</v>
      </c>
      <c r="I26" s="14">
        <f t="shared" si="28"/>
        <v>1218000</v>
      </c>
      <c r="J26" s="14">
        <f t="shared" si="28"/>
        <v>1211000</v>
      </c>
      <c r="K26" s="4" t="s">
        <v>42</v>
      </c>
      <c r="L26" s="33">
        <v>12</v>
      </c>
      <c r="M26" s="14">
        <f t="shared" si="29"/>
        <v>1028000</v>
      </c>
      <c r="N26" s="14">
        <f t="shared" si="29"/>
        <v>1085000</v>
      </c>
      <c r="O26" s="14">
        <f t="shared" si="29"/>
        <v>1134000</v>
      </c>
      <c r="P26" s="14">
        <f t="shared" si="29"/>
        <v>761000</v>
      </c>
      <c r="Q26" s="14">
        <f t="shared" si="29"/>
        <v>833000</v>
      </c>
      <c r="R26" s="14">
        <f t="shared" si="29"/>
        <v>774000</v>
      </c>
      <c r="S26" s="14">
        <f t="shared" si="29"/>
        <v>848000</v>
      </c>
      <c r="T26" s="14">
        <f t="shared" si="29"/>
        <v>865000</v>
      </c>
      <c r="U26" s="4" t="s">
        <v>42</v>
      </c>
      <c r="V26" s="33">
        <v>12</v>
      </c>
      <c r="W26" s="14">
        <f t="shared" si="30"/>
        <v>1213000</v>
      </c>
      <c r="X26" s="14">
        <f t="shared" si="30"/>
        <v>1332000</v>
      </c>
      <c r="Y26" s="14">
        <f t="shared" si="30"/>
        <v>1635000</v>
      </c>
      <c r="Z26" s="14">
        <f t="shared" si="30"/>
        <v>966000</v>
      </c>
      <c r="AA26" s="14">
        <f t="shared" si="30"/>
        <v>1300000</v>
      </c>
      <c r="AB26" s="14">
        <f t="shared" si="30"/>
        <v>1209000</v>
      </c>
      <c r="AC26" s="14">
        <f t="shared" si="30"/>
        <v>1588000</v>
      </c>
      <c r="AD26" s="14">
        <f t="shared" si="30"/>
        <v>1558000</v>
      </c>
    </row>
    <row r="27" spans="1:30" x14ac:dyDescent="0.25">
      <c r="A27" s="4" t="s">
        <v>42</v>
      </c>
      <c r="B27" s="33">
        <v>13</v>
      </c>
      <c r="C27" s="14">
        <f t="shared" si="28"/>
        <v>1174000</v>
      </c>
      <c r="D27" s="14">
        <f t="shared" si="28"/>
        <v>1269000</v>
      </c>
      <c r="E27" s="14">
        <f t="shared" si="28"/>
        <v>1458000</v>
      </c>
      <c r="F27" s="14">
        <f t="shared" si="28"/>
        <v>907000</v>
      </c>
      <c r="G27" s="14">
        <f t="shared" si="28"/>
        <v>1126000</v>
      </c>
      <c r="H27" s="14">
        <f t="shared" si="28"/>
        <v>1049000</v>
      </c>
      <c r="I27" s="14">
        <f t="shared" si="28"/>
        <v>1289000</v>
      </c>
      <c r="J27" s="14">
        <f t="shared" si="28"/>
        <v>1285000</v>
      </c>
      <c r="K27" s="4" t="s">
        <v>42</v>
      </c>
      <c r="L27" s="33">
        <v>13</v>
      </c>
      <c r="M27" s="14">
        <f t="shared" si="29"/>
        <v>1079000</v>
      </c>
      <c r="N27" s="14">
        <f t="shared" si="29"/>
        <v>1140000</v>
      </c>
      <c r="O27" s="14">
        <f t="shared" si="29"/>
        <v>1195000</v>
      </c>
      <c r="P27" s="14">
        <f t="shared" si="29"/>
        <v>799000</v>
      </c>
      <c r="Q27" s="14">
        <f t="shared" si="29"/>
        <v>880000</v>
      </c>
      <c r="R27" s="14">
        <f t="shared" si="29"/>
        <v>816000</v>
      </c>
      <c r="S27" s="14">
        <f t="shared" si="29"/>
        <v>901000</v>
      </c>
      <c r="T27" s="14">
        <f t="shared" si="29"/>
        <v>919000</v>
      </c>
      <c r="U27" s="4" t="s">
        <v>42</v>
      </c>
      <c r="V27" s="33">
        <v>13</v>
      </c>
      <c r="W27" s="14">
        <f t="shared" si="30"/>
        <v>1269000</v>
      </c>
      <c r="X27" s="14">
        <f t="shared" si="30"/>
        <v>1399000</v>
      </c>
      <c r="Y27" s="14">
        <f t="shared" si="30"/>
        <v>1720000</v>
      </c>
      <c r="Z27" s="14">
        <f t="shared" si="30"/>
        <v>1015000</v>
      </c>
      <c r="AA27" s="14">
        <f t="shared" si="30"/>
        <v>1371000</v>
      </c>
      <c r="AB27" s="14">
        <f t="shared" si="30"/>
        <v>1282000</v>
      </c>
      <c r="AC27" s="14">
        <f t="shared" si="30"/>
        <v>1677000</v>
      </c>
      <c r="AD27" s="14">
        <f t="shared" si="30"/>
        <v>1651000</v>
      </c>
    </row>
    <row r="28" spans="1:30" x14ac:dyDescent="0.25">
      <c r="A28" s="4" t="s">
        <v>42</v>
      </c>
      <c r="B28" s="33">
        <v>14</v>
      </c>
      <c r="C28" s="14">
        <f t="shared" si="28"/>
        <v>1232000</v>
      </c>
      <c r="D28" s="14">
        <f t="shared" si="28"/>
        <v>1335000</v>
      </c>
      <c r="E28" s="14">
        <f t="shared" si="28"/>
        <v>1536000</v>
      </c>
      <c r="F28" s="14">
        <f t="shared" si="28"/>
        <v>954000</v>
      </c>
      <c r="G28" s="14">
        <f t="shared" si="28"/>
        <v>1189000</v>
      </c>
      <c r="H28" s="14">
        <f t="shared" si="28"/>
        <v>1110000</v>
      </c>
      <c r="I28" s="14">
        <f t="shared" si="28"/>
        <v>1366000</v>
      </c>
      <c r="J28" s="14">
        <f t="shared" si="28"/>
        <v>1365000</v>
      </c>
      <c r="K28" s="4" t="s">
        <v>42</v>
      </c>
      <c r="L28" s="33">
        <v>14</v>
      </c>
      <c r="M28" s="14">
        <f t="shared" si="29"/>
        <v>1134000</v>
      </c>
      <c r="N28" s="14">
        <f t="shared" si="29"/>
        <v>1199000</v>
      </c>
      <c r="O28" s="14">
        <f t="shared" si="29"/>
        <v>1260000</v>
      </c>
      <c r="P28" s="14">
        <f t="shared" si="29"/>
        <v>840000</v>
      </c>
      <c r="Q28" s="14">
        <f t="shared" si="29"/>
        <v>931000</v>
      </c>
      <c r="R28" s="14">
        <f t="shared" si="29"/>
        <v>860000</v>
      </c>
      <c r="S28" s="14">
        <f t="shared" si="29"/>
        <v>958000</v>
      </c>
      <c r="T28" s="14">
        <f t="shared" si="29"/>
        <v>978000</v>
      </c>
      <c r="U28" s="4" t="s">
        <v>42</v>
      </c>
      <c r="V28" s="33">
        <v>14</v>
      </c>
      <c r="W28" s="14">
        <f t="shared" si="30"/>
        <v>1329000</v>
      </c>
      <c r="X28" s="14">
        <f t="shared" si="30"/>
        <v>1471000</v>
      </c>
      <c r="Y28" s="14">
        <f t="shared" si="30"/>
        <v>1812000</v>
      </c>
      <c r="Z28" s="14">
        <f t="shared" si="30"/>
        <v>1067000</v>
      </c>
      <c r="AA28" s="14">
        <f t="shared" si="30"/>
        <v>1448000</v>
      </c>
      <c r="AB28" s="14">
        <f t="shared" si="30"/>
        <v>1360000</v>
      </c>
      <c r="AC28" s="14">
        <f t="shared" si="30"/>
        <v>1773000</v>
      </c>
      <c r="AD28" s="14">
        <f t="shared" si="30"/>
        <v>1752000</v>
      </c>
    </row>
    <row r="29" spans="1:30" x14ac:dyDescent="0.25">
      <c r="A29" s="4" t="s">
        <v>42</v>
      </c>
      <c r="B29" s="33">
        <v>15</v>
      </c>
      <c r="C29" s="14">
        <f t="shared" si="28"/>
        <v>1294000</v>
      </c>
      <c r="D29" s="14">
        <f t="shared" si="28"/>
        <v>1405000</v>
      </c>
      <c r="E29" s="14">
        <f t="shared" si="28"/>
        <v>1621000</v>
      </c>
      <c r="F29" s="14">
        <f t="shared" si="28"/>
        <v>1004000</v>
      </c>
      <c r="G29" s="14">
        <f t="shared" si="28"/>
        <v>1258000</v>
      </c>
      <c r="H29" s="14">
        <f t="shared" si="28"/>
        <v>1177000</v>
      </c>
      <c r="I29" s="14">
        <f t="shared" si="28"/>
        <v>1449000</v>
      </c>
      <c r="J29" s="14">
        <f t="shared" si="28"/>
        <v>1452000</v>
      </c>
      <c r="K29" s="4" t="s">
        <v>42</v>
      </c>
      <c r="L29" s="33">
        <v>15</v>
      </c>
      <c r="M29" s="14">
        <f t="shared" si="29"/>
        <v>1194000</v>
      </c>
      <c r="N29" s="14">
        <f t="shared" si="29"/>
        <v>1263000</v>
      </c>
      <c r="O29" s="14">
        <f t="shared" si="29"/>
        <v>1331000</v>
      </c>
      <c r="P29" s="14">
        <f t="shared" si="29"/>
        <v>885000</v>
      </c>
      <c r="Q29" s="14">
        <f t="shared" si="29"/>
        <v>986000</v>
      </c>
      <c r="R29" s="14">
        <f t="shared" si="29"/>
        <v>909000</v>
      </c>
      <c r="S29" s="14">
        <f t="shared" si="29"/>
        <v>1021000</v>
      </c>
      <c r="T29" s="14">
        <f t="shared" si="29"/>
        <v>1042000</v>
      </c>
      <c r="U29" s="4" t="s">
        <v>42</v>
      </c>
      <c r="V29" s="33">
        <v>15</v>
      </c>
      <c r="W29" s="14">
        <f t="shared" si="30"/>
        <v>1394000</v>
      </c>
      <c r="X29" s="14">
        <f t="shared" si="30"/>
        <v>1548000</v>
      </c>
      <c r="Y29" s="14">
        <f t="shared" si="30"/>
        <v>1910000</v>
      </c>
      <c r="Z29" s="14">
        <f t="shared" si="30"/>
        <v>1123000</v>
      </c>
      <c r="AA29" s="14">
        <f t="shared" si="30"/>
        <v>1530000</v>
      </c>
      <c r="AB29" s="14">
        <f t="shared" si="30"/>
        <v>1445000</v>
      </c>
      <c r="AC29" s="14">
        <f t="shared" si="30"/>
        <v>1877000</v>
      </c>
      <c r="AD29" s="14">
        <f t="shared" si="30"/>
        <v>1862000</v>
      </c>
    </row>
    <row r="30" spans="1:30" x14ac:dyDescent="0.25">
      <c r="A30" s="4" t="s">
        <v>42</v>
      </c>
      <c r="B30" s="33">
        <v>16</v>
      </c>
      <c r="C30" s="14">
        <f t="shared" ref="C30:J30" si="31">ROUND(C57+C85+C113,-3)</f>
        <v>1361000</v>
      </c>
      <c r="D30" s="14">
        <f t="shared" si="31"/>
        <v>1482000</v>
      </c>
      <c r="E30" s="14">
        <f t="shared" si="31"/>
        <v>1712000</v>
      </c>
      <c r="F30" s="14">
        <f t="shared" si="31"/>
        <v>1058000</v>
      </c>
      <c r="G30" s="14">
        <f t="shared" si="31"/>
        <v>1333000</v>
      </c>
      <c r="H30" s="14">
        <f t="shared" si="31"/>
        <v>1250000</v>
      </c>
      <c r="I30" s="14">
        <f t="shared" si="31"/>
        <v>1539000</v>
      </c>
      <c r="J30" s="14">
        <f t="shared" si="31"/>
        <v>1546000</v>
      </c>
      <c r="K30" s="4" t="s">
        <v>42</v>
      </c>
      <c r="L30" s="33">
        <v>16</v>
      </c>
      <c r="M30" s="14">
        <f t="shared" ref="M30:T30" si="32">ROUND(M57+M85+M113,-3)</f>
        <v>1258000</v>
      </c>
      <c r="N30" s="14">
        <f t="shared" si="32"/>
        <v>1332000</v>
      </c>
      <c r="O30" s="14">
        <f t="shared" si="32"/>
        <v>1407000</v>
      </c>
      <c r="P30" s="14">
        <f t="shared" si="32"/>
        <v>933000</v>
      </c>
      <c r="Q30" s="14">
        <f t="shared" si="32"/>
        <v>1046000</v>
      </c>
      <c r="R30" s="14">
        <f t="shared" si="32"/>
        <v>962000</v>
      </c>
      <c r="S30" s="14">
        <f t="shared" si="32"/>
        <v>1090000</v>
      </c>
      <c r="T30" s="14">
        <f t="shared" si="32"/>
        <v>1111000</v>
      </c>
      <c r="U30" s="4" t="s">
        <v>42</v>
      </c>
      <c r="V30" s="33">
        <v>16</v>
      </c>
      <c r="W30" s="14">
        <f t="shared" ref="W30:AD30" si="33">ROUND(W57+W85+W113,-3)</f>
        <v>1463000</v>
      </c>
      <c r="X30" s="14">
        <f t="shared" si="33"/>
        <v>1632000</v>
      </c>
      <c r="Y30" s="14">
        <f t="shared" si="33"/>
        <v>2017000</v>
      </c>
      <c r="Z30" s="14">
        <f t="shared" si="33"/>
        <v>1184000</v>
      </c>
      <c r="AA30" s="14">
        <f t="shared" si="33"/>
        <v>1620000</v>
      </c>
      <c r="AB30" s="14">
        <f t="shared" si="33"/>
        <v>1538000</v>
      </c>
      <c r="AC30" s="14">
        <f t="shared" si="33"/>
        <v>1989000</v>
      </c>
      <c r="AD30" s="14">
        <f t="shared" si="33"/>
        <v>1980000</v>
      </c>
    </row>
    <row r="31" spans="1:30" x14ac:dyDescent="0.25">
      <c r="A31" s="4" t="s">
        <v>42</v>
      </c>
      <c r="B31" s="33">
        <v>17</v>
      </c>
      <c r="C31" s="14">
        <f t="shared" ref="C31:J31" si="34">ROUND(C58+C86+C114,-3)</f>
        <v>1433000</v>
      </c>
      <c r="D31" s="14">
        <f t="shared" si="34"/>
        <v>1564000</v>
      </c>
      <c r="E31" s="14">
        <f t="shared" si="34"/>
        <v>1811000</v>
      </c>
      <c r="F31" s="14">
        <f t="shared" si="34"/>
        <v>1117000</v>
      </c>
      <c r="G31" s="14">
        <f t="shared" si="34"/>
        <v>1413000</v>
      </c>
      <c r="H31" s="14">
        <f t="shared" si="34"/>
        <v>1328000</v>
      </c>
      <c r="I31" s="14">
        <f t="shared" si="34"/>
        <v>1637000</v>
      </c>
      <c r="J31" s="14">
        <f t="shared" si="34"/>
        <v>1648000</v>
      </c>
      <c r="K31" s="4" t="s">
        <v>42</v>
      </c>
      <c r="L31" s="33">
        <v>17</v>
      </c>
      <c r="M31" s="14">
        <f t="shared" ref="M31:T31" si="35">ROUND(M58+M86+M114,-3)</f>
        <v>1328000</v>
      </c>
      <c r="N31" s="14">
        <f t="shared" si="35"/>
        <v>1406000</v>
      </c>
      <c r="O31" s="14">
        <f t="shared" si="35"/>
        <v>1490000</v>
      </c>
      <c r="P31" s="14">
        <f t="shared" si="35"/>
        <v>985000</v>
      </c>
      <c r="Q31" s="14">
        <f t="shared" si="35"/>
        <v>1111000</v>
      </c>
      <c r="R31" s="14">
        <f t="shared" si="35"/>
        <v>1019000</v>
      </c>
      <c r="S31" s="14">
        <f t="shared" si="35"/>
        <v>1164000</v>
      </c>
      <c r="T31" s="14">
        <f t="shared" si="35"/>
        <v>1187000</v>
      </c>
      <c r="U31" s="4" t="s">
        <v>42</v>
      </c>
      <c r="V31" s="33">
        <v>17</v>
      </c>
      <c r="W31" s="14">
        <f t="shared" ref="W31:AD31" si="36">ROUND(W58+W86+W114,-3)</f>
        <v>1538000</v>
      </c>
      <c r="X31" s="14">
        <f t="shared" si="36"/>
        <v>1722000</v>
      </c>
      <c r="Y31" s="14">
        <f t="shared" si="36"/>
        <v>2131000</v>
      </c>
      <c r="Z31" s="14">
        <f t="shared" si="36"/>
        <v>1249000</v>
      </c>
      <c r="AA31" s="14">
        <f t="shared" si="36"/>
        <v>1716000</v>
      </c>
      <c r="AB31" s="14">
        <f t="shared" si="36"/>
        <v>1638000</v>
      </c>
      <c r="AC31" s="14">
        <f t="shared" si="36"/>
        <v>2110000</v>
      </c>
      <c r="AD31" s="14">
        <f t="shared" si="36"/>
        <v>2109000</v>
      </c>
    </row>
    <row r="32" spans="1:30" x14ac:dyDescent="0.25">
      <c r="A32" s="4" t="s">
        <v>42</v>
      </c>
      <c r="B32" s="33">
        <v>18</v>
      </c>
      <c r="C32" s="14">
        <f t="shared" ref="C32:J32" si="37">ROUND(C59+C87+C115,-3)</f>
        <v>1510000</v>
      </c>
      <c r="D32" s="14">
        <f t="shared" si="37"/>
        <v>1653000</v>
      </c>
      <c r="E32" s="14">
        <f t="shared" si="37"/>
        <v>1918000</v>
      </c>
      <c r="F32" s="14">
        <f t="shared" si="37"/>
        <v>1180000</v>
      </c>
      <c r="G32" s="14">
        <f t="shared" si="37"/>
        <v>1501000</v>
      </c>
      <c r="H32" s="14">
        <f t="shared" si="37"/>
        <v>1414000</v>
      </c>
      <c r="I32" s="14">
        <f t="shared" si="37"/>
        <v>1743000</v>
      </c>
      <c r="J32" s="14">
        <f t="shared" si="37"/>
        <v>1759000</v>
      </c>
      <c r="K32" s="4" t="s">
        <v>42</v>
      </c>
      <c r="L32" s="33">
        <v>18</v>
      </c>
      <c r="M32" s="14">
        <f t="shared" ref="M32:T32" si="38">ROUND(M59+M87+M115,-3)</f>
        <v>1403000</v>
      </c>
      <c r="N32" s="14">
        <f t="shared" si="38"/>
        <v>1487000</v>
      </c>
      <c r="O32" s="14">
        <f t="shared" si="38"/>
        <v>1580000</v>
      </c>
      <c r="P32" s="14">
        <f t="shared" si="38"/>
        <v>1041000</v>
      </c>
      <c r="Q32" s="14">
        <f t="shared" si="38"/>
        <v>1181000</v>
      </c>
      <c r="R32" s="14">
        <f t="shared" si="38"/>
        <v>1081000</v>
      </c>
      <c r="S32" s="14">
        <f t="shared" si="38"/>
        <v>1245000</v>
      </c>
      <c r="T32" s="14">
        <f t="shared" si="38"/>
        <v>1270000</v>
      </c>
      <c r="U32" s="4" t="s">
        <v>42</v>
      </c>
      <c r="V32" s="33">
        <v>18</v>
      </c>
      <c r="W32" s="14">
        <f t="shared" ref="W32:AD32" si="39">ROUND(W59+W87+W115,-3)</f>
        <v>1618000</v>
      </c>
      <c r="X32" s="14">
        <f t="shared" si="39"/>
        <v>1819000</v>
      </c>
      <c r="Y32" s="14">
        <f t="shared" si="39"/>
        <v>2255000</v>
      </c>
      <c r="Z32" s="14">
        <f t="shared" si="39"/>
        <v>1320000</v>
      </c>
      <c r="AA32" s="14">
        <f t="shared" si="39"/>
        <v>1820000</v>
      </c>
      <c r="AB32" s="14">
        <f t="shared" si="39"/>
        <v>1747000</v>
      </c>
      <c r="AC32" s="14">
        <f t="shared" si="39"/>
        <v>2241000</v>
      </c>
      <c r="AD32" s="14">
        <f t="shared" si="39"/>
        <v>2249000</v>
      </c>
    </row>
    <row r="33" spans="1:30" x14ac:dyDescent="0.25">
      <c r="A33" s="4" t="s">
        <v>42</v>
      </c>
      <c r="B33" s="33">
        <v>19</v>
      </c>
      <c r="C33" s="14">
        <f t="shared" ref="C33:J33" si="40">ROUND(C60+C88+C116,-3)</f>
        <v>1594000</v>
      </c>
      <c r="D33" s="14">
        <f t="shared" si="40"/>
        <v>1750000</v>
      </c>
      <c r="E33" s="14">
        <f t="shared" si="40"/>
        <v>2033000</v>
      </c>
      <c r="F33" s="14">
        <f t="shared" si="40"/>
        <v>1249000</v>
      </c>
      <c r="G33" s="14">
        <f t="shared" si="40"/>
        <v>1595000</v>
      </c>
      <c r="H33" s="14">
        <f t="shared" si="40"/>
        <v>1507000</v>
      </c>
      <c r="I33" s="14">
        <f t="shared" si="40"/>
        <v>1858000</v>
      </c>
      <c r="J33" s="14">
        <f t="shared" si="40"/>
        <v>1881000</v>
      </c>
      <c r="K33" s="4" t="s">
        <v>42</v>
      </c>
      <c r="L33" s="33">
        <v>19</v>
      </c>
      <c r="M33" s="14">
        <f t="shared" ref="M33:T33" si="41">ROUND(M60+M88+M116,-3)</f>
        <v>1485000</v>
      </c>
      <c r="N33" s="14">
        <f t="shared" si="41"/>
        <v>1575000</v>
      </c>
      <c r="O33" s="14">
        <f t="shared" si="41"/>
        <v>1678000</v>
      </c>
      <c r="P33" s="14">
        <f t="shared" si="41"/>
        <v>1102000</v>
      </c>
      <c r="Q33" s="14">
        <f t="shared" si="41"/>
        <v>1258000</v>
      </c>
      <c r="R33" s="14">
        <f t="shared" si="41"/>
        <v>1148000</v>
      </c>
      <c r="S33" s="14">
        <f t="shared" si="41"/>
        <v>1334000</v>
      </c>
      <c r="T33" s="14">
        <f t="shared" si="41"/>
        <v>1361000</v>
      </c>
      <c r="U33" s="4" t="s">
        <v>42</v>
      </c>
      <c r="V33" s="33">
        <v>19</v>
      </c>
      <c r="W33" s="14">
        <f t="shared" ref="W33:AD33" si="42">ROUND(W60+W88+W116,-3)</f>
        <v>1704000</v>
      </c>
      <c r="X33" s="14">
        <f t="shared" si="42"/>
        <v>1925000</v>
      </c>
      <c r="Y33" s="14">
        <f t="shared" si="42"/>
        <v>2388000</v>
      </c>
      <c r="Z33" s="14">
        <f t="shared" si="42"/>
        <v>1396000</v>
      </c>
      <c r="AA33" s="14">
        <f t="shared" si="42"/>
        <v>1933000</v>
      </c>
      <c r="AB33" s="14">
        <f t="shared" si="42"/>
        <v>1866000</v>
      </c>
      <c r="AC33" s="14">
        <f t="shared" si="42"/>
        <v>2382000</v>
      </c>
      <c r="AD33" s="14">
        <f t="shared" si="42"/>
        <v>2400000</v>
      </c>
    </row>
    <row r="34" spans="1:30" x14ac:dyDescent="0.25">
      <c r="A34" s="4" t="s">
        <v>42</v>
      </c>
      <c r="B34" s="33">
        <v>20</v>
      </c>
      <c r="C34" s="14">
        <f t="shared" ref="C34:J34" si="43">ROUND(C61+C89+C117,-3)</f>
        <v>1685000</v>
      </c>
      <c r="D34" s="14">
        <f t="shared" si="43"/>
        <v>1854000</v>
      </c>
      <c r="E34" s="14">
        <f t="shared" si="43"/>
        <v>2158000</v>
      </c>
      <c r="F34" s="14">
        <f t="shared" si="43"/>
        <v>1323000</v>
      </c>
      <c r="G34" s="14">
        <f t="shared" si="43"/>
        <v>1698000</v>
      </c>
      <c r="H34" s="14">
        <f t="shared" si="43"/>
        <v>1608000</v>
      </c>
      <c r="I34" s="14">
        <f t="shared" si="43"/>
        <v>1983000</v>
      </c>
      <c r="J34" s="14">
        <f t="shared" si="43"/>
        <v>2012000</v>
      </c>
      <c r="K34" s="4" t="s">
        <v>42</v>
      </c>
      <c r="L34" s="33">
        <v>20</v>
      </c>
      <c r="M34" s="14">
        <f t="shared" ref="M34:T34" si="44">ROUND(M61+M89+M117,-3)</f>
        <v>1574000</v>
      </c>
      <c r="N34" s="14">
        <f t="shared" si="44"/>
        <v>1670000</v>
      </c>
      <c r="O34" s="14">
        <f t="shared" si="44"/>
        <v>1784000</v>
      </c>
      <c r="P34" s="14">
        <f t="shared" si="44"/>
        <v>1168000</v>
      </c>
      <c r="Q34" s="14">
        <f t="shared" si="44"/>
        <v>1342000</v>
      </c>
      <c r="R34" s="14">
        <f t="shared" si="44"/>
        <v>1221000</v>
      </c>
      <c r="S34" s="14">
        <f t="shared" si="44"/>
        <v>1430000</v>
      </c>
      <c r="T34" s="14">
        <f t="shared" si="44"/>
        <v>1459000</v>
      </c>
      <c r="U34" s="4" t="s">
        <v>42</v>
      </c>
      <c r="V34" s="33">
        <v>20</v>
      </c>
      <c r="W34" s="14">
        <f t="shared" ref="W34:AD34" si="45">ROUND(W61+W89+W117,-3)</f>
        <v>1796000</v>
      </c>
      <c r="X34" s="14">
        <f t="shared" si="45"/>
        <v>2039000</v>
      </c>
      <c r="Y34" s="14">
        <f t="shared" si="45"/>
        <v>2533000</v>
      </c>
      <c r="Z34" s="14">
        <f t="shared" si="45"/>
        <v>1479000</v>
      </c>
      <c r="AA34" s="14">
        <f t="shared" si="45"/>
        <v>2055000</v>
      </c>
      <c r="AB34" s="14">
        <f t="shared" si="45"/>
        <v>1995000</v>
      </c>
      <c r="AC34" s="14">
        <f t="shared" si="45"/>
        <v>2536000</v>
      </c>
      <c r="AD34" s="14">
        <f t="shared" si="45"/>
        <v>2566000</v>
      </c>
    </row>
    <row r="35" spans="1:30" x14ac:dyDescent="0.25">
      <c r="A35" s="4" t="s">
        <v>42</v>
      </c>
      <c r="B35" s="33">
        <v>21</v>
      </c>
      <c r="C35" s="14">
        <f t="shared" ref="C35:J35" si="46">ROUND(C62+C90+C118,-3)</f>
        <v>1783000</v>
      </c>
      <c r="D35" s="14">
        <f t="shared" si="46"/>
        <v>1967000</v>
      </c>
      <c r="E35" s="14">
        <f t="shared" si="46"/>
        <v>2294000</v>
      </c>
      <c r="F35" s="14">
        <f t="shared" si="46"/>
        <v>1404000</v>
      </c>
      <c r="G35" s="14">
        <f t="shared" si="46"/>
        <v>1810000</v>
      </c>
      <c r="H35" s="14">
        <f t="shared" si="46"/>
        <v>1718000</v>
      </c>
      <c r="I35" s="14">
        <f t="shared" si="46"/>
        <v>2119000</v>
      </c>
      <c r="J35" s="14">
        <f t="shared" si="46"/>
        <v>2156000</v>
      </c>
      <c r="K35" s="4" t="s">
        <v>42</v>
      </c>
      <c r="L35" s="33">
        <v>21</v>
      </c>
      <c r="M35" s="14">
        <f t="shared" ref="M35:T35" si="47">ROUND(M62+M90+M118,-3)</f>
        <v>1670000</v>
      </c>
      <c r="N35" s="14">
        <f t="shared" si="47"/>
        <v>1773000</v>
      </c>
      <c r="O35" s="14">
        <f t="shared" si="47"/>
        <v>1900000</v>
      </c>
      <c r="P35" s="14">
        <f t="shared" si="47"/>
        <v>1239000</v>
      </c>
      <c r="Q35" s="14">
        <f t="shared" si="47"/>
        <v>1433000</v>
      </c>
      <c r="R35" s="14">
        <f t="shared" si="47"/>
        <v>1300000</v>
      </c>
      <c r="S35" s="14">
        <f t="shared" si="47"/>
        <v>1536000</v>
      </c>
      <c r="T35" s="14">
        <f t="shared" si="47"/>
        <v>1567000</v>
      </c>
      <c r="U35" s="4" t="s">
        <v>42</v>
      </c>
      <c r="V35" s="33">
        <v>21</v>
      </c>
      <c r="W35" s="14">
        <f t="shared" ref="W35:AD35" si="48">ROUND(W62+W90+W118,-3)</f>
        <v>1896000</v>
      </c>
      <c r="X35" s="14">
        <f t="shared" si="48"/>
        <v>2162000</v>
      </c>
      <c r="Y35" s="14">
        <f t="shared" si="48"/>
        <v>2689000</v>
      </c>
      <c r="Z35" s="14">
        <f t="shared" si="48"/>
        <v>1568000</v>
      </c>
      <c r="AA35" s="14">
        <f t="shared" si="48"/>
        <v>2187000</v>
      </c>
      <c r="AB35" s="14">
        <f t="shared" si="48"/>
        <v>2136000</v>
      </c>
      <c r="AC35" s="14">
        <f t="shared" si="48"/>
        <v>2702000</v>
      </c>
      <c r="AD35" s="14">
        <f t="shared" si="48"/>
        <v>2745000</v>
      </c>
    </row>
    <row r="36" spans="1:30" x14ac:dyDescent="0.25">
      <c r="A36" s="4" t="s">
        <v>42</v>
      </c>
      <c r="B36" s="33">
        <v>22</v>
      </c>
      <c r="C36" s="14">
        <f t="shared" ref="C36:J36" si="49">ROUND(C63+C91+C119,-3)</f>
        <v>1889000</v>
      </c>
      <c r="D36" s="14">
        <f t="shared" si="49"/>
        <v>2090000</v>
      </c>
      <c r="E36" s="14">
        <f t="shared" si="49"/>
        <v>2442000</v>
      </c>
      <c r="F36" s="14">
        <f t="shared" si="49"/>
        <v>1491000</v>
      </c>
      <c r="G36" s="14">
        <f t="shared" si="49"/>
        <v>1932000</v>
      </c>
      <c r="H36" s="14">
        <f t="shared" si="49"/>
        <v>1838000</v>
      </c>
      <c r="I36" s="14">
        <f t="shared" si="49"/>
        <v>2267000</v>
      </c>
      <c r="J36" s="14">
        <f t="shared" si="49"/>
        <v>2313000</v>
      </c>
      <c r="K36" s="4" t="s">
        <v>42</v>
      </c>
      <c r="L36" s="33">
        <v>22</v>
      </c>
      <c r="M36" s="14">
        <f t="shared" ref="M36:T36" si="50">ROUND(M63+M91+M119,-3)</f>
        <v>1774000</v>
      </c>
      <c r="N36" s="14">
        <f t="shared" si="50"/>
        <v>1885000</v>
      </c>
      <c r="O36" s="14">
        <f t="shared" si="50"/>
        <v>2025000</v>
      </c>
      <c r="P36" s="14">
        <f t="shared" si="50"/>
        <v>1317000</v>
      </c>
      <c r="Q36" s="14">
        <f t="shared" si="50"/>
        <v>1532000</v>
      </c>
      <c r="R36" s="14">
        <f t="shared" si="50"/>
        <v>1387000</v>
      </c>
      <c r="S36" s="14">
        <f t="shared" si="50"/>
        <v>1651000</v>
      </c>
      <c r="T36" s="14">
        <f t="shared" si="50"/>
        <v>1685000</v>
      </c>
      <c r="U36" s="4" t="s">
        <v>42</v>
      </c>
      <c r="V36" s="33">
        <v>22</v>
      </c>
      <c r="W36" s="14">
        <f t="shared" ref="W36:AD36" si="51">ROUND(W63+W91+W119,-3)</f>
        <v>2004000</v>
      </c>
      <c r="X36" s="14">
        <f t="shared" si="51"/>
        <v>2295000</v>
      </c>
      <c r="Y36" s="14">
        <f t="shared" si="51"/>
        <v>2858000</v>
      </c>
      <c r="Z36" s="14">
        <f t="shared" si="51"/>
        <v>1665000</v>
      </c>
      <c r="AA36" s="14">
        <f t="shared" si="51"/>
        <v>2331000</v>
      </c>
      <c r="AB36" s="14">
        <f t="shared" si="51"/>
        <v>2289000</v>
      </c>
      <c r="AC36" s="14">
        <f t="shared" si="51"/>
        <v>2883000</v>
      </c>
      <c r="AD36" s="14">
        <f t="shared" si="51"/>
        <v>2941000</v>
      </c>
    </row>
    <row r="37" spans="1:30" x14ac:dyDescent="0.25">
      <c r="A37" s="4" t="s">
        <v>42</v>
      </c>
      <c r="B37" s="33">
        <v>23</v>
      </c>
      <c r="C37" s="14">
        <f t="shared" ref="C37:J37" si="52">ROUND(C64+C92+C120,-3)</f>
        <v>2004000</v>
      </c>
      <c r="D37" s="14">
        <f t="shared" si="52"/>
        <v>2224000</v>
      </c>
      <c r="E37" s="14">
        <f t="shared" si="52"/>
        <v>2602000</v>
      </c>
      <c r="F37" s="14">
        <f t="shared" si="52"/>
        <v>1586000</v>
      </c>
      <c r="G37" s="14">
        <f t="shared" si="52"/>
        <v>2064000</v>
      </c>
      <c r="H37" s="14">
        <f t="shared" si="52"/>
        <v>1968000</v>
      </c>
      <c r="I37" s="14">
        <f t="shared" si="52"/>
        <v>2428000</v>
      </c>
      <c r="J37" s="14">
        <f t="shared" si="52"/>
        <v>2484000</v>
      </c>
      <c r="K37" s="4" t="s">
        <v>42</v>
      </c>
      <c r="L37" s="33">
        <v>23</v>
      </c>
      <c r="M37" s="14">
        <f t="shared" ref="M37:T37" si="53">ROUND(M64+M92+M120,-3)</f>
        <v>1887000</v>
      </c>
      <c r="N37" s="14">
        <f t="shared" si="53"/>
        <v>2007000</v>
      </c>
      <c r="O37" s="14">
        <f t="shared" si="53"/>
        <v>2162000</v>
      </c>
      <c r="P37" s="14">
        <f t="shared" si="53"/>
        <v>1402000</v>
      </c>
      <c r="Q37" s="14">
        <f t="shared" si="53"/>
        <v>1640000</v>
      </c>
      <c r="R37" s="14">
        <f t="shared" si="53"/>
        <v>1481000</v>
      </c>
      <c r="S37" s="14">
        <f t="shared" si="53"/>
        <v>1777000</v>
      </c>
      <c r="T37" s="14">
        <f t="shared" si="53"/>
        <v>1814000</v>
      </c>
      <c r="U37" s="4" t="s">
        <v>42</v>
      </c>
      <c r="V37" s="33">
        <v>23</v>
      </c>
      <c r="W37" s="14">
        <f t="shared" ref="W37:AD37" si="54">ROUND(W64+W92+W120,-3)</f>
        <v>2121000</v>
      </c>
      <c r="X37" s="14">
        <f t="shared" si="54"/>
        <v>2440000</v>
      </c>
      <c r="Y37" s="14">
        <f t="shared" si="54"/>
        <v>3042000</v>
      </c>
      <c r="Z37" s="14">
        <f t="shared" si="54"/>
        <v>1771000</v>
      </c>
      <c r="AA37" s="14">
        <f t="shared" si="54"/>
        <v>2487000</v>
      </c>
      <c r="AB37" s="14">
        <f t="shared" si="54"/>
        <v>2456000</v>
      </c>
      <c r="AC37" s="14">
        <f t="shared" si="54"/>
        <v>3079000</v>
      </c>
      <c r="AD37" s="14">
        <f t="shared" si="54"/>
        <v>3154000</v>
      </c>
    </row>
    <row r="38" spans="1:30" x14ac:dyDescent="0.25">
      <c r="A38" s="4" t="s">
        <v>42</v>
      </c>
      <c r="B38" s="33">
        <v>24</v>
      </c>
      <c r="C38" s="14">
        <f t="shared" ref="C38:J38" si="55">ROUND(C65+C93+C121,-3)</f>
        <v>2129000</v>
      </c>
      <c r="D38" s="14">
        <f t="shared" si="55"/>
        <v>2369000</v>
      </c>
      <c r="E38" s="14">
        <f t="shared" si="55"/>
        <v>2776000</v>
      </c>
      <c r="F38" s="14">
        <f t="shared" si="55"/>
        <v>1690000</v>
      </c>
      <c r="G38" s="14">
        <f t="shared" si="55"/>
        <v>2208000</v>
      </c>
      <c r="H38" s="14">
        <f t="shared" si="55"/>
        <v>2111000</v>
      </c>
      <c r="I38" s="14">
        <f t="shared" si="55"/>
        <v>2603000</v>
      </c>
      <c r="J38" s="14">
        <f t="shared" si="55"/>
        <v>2671000</v>
      </c>
      <c r="K38" s="4" t="s">
        <v>42</v>
      </c>
      <c r="L38" s="33">
        <v>24</v>
      </c>
      <c r="M38" s="14">
        <f t="shared" ref="M38:T38" si="56">ROUND(M65+M93+M121,-3)</f>
        <v>2011000</v>
      </c>
      <c r="N38" s="14">
        <f t="shared" si="56"/>
        <v>2140000</v>
      </c>
      <c r="O38" s="14">
        <f t="shared" si="56"/>
        <v>2311000</v>
      </c>
      <c r="P38" s="14">
        <f t="shared" si="56"/>
        <v>1494000</v>
      </c>
      <c r="Q38" s="14">
        <f t="shared" si="56"/>
        <v>1758000</v>
      </c>
      <c r="R38" s="14">
        <f t="shared" si="56"/>
        <v>1584000</v>
      </c>
      <c r="S38" s="14">
        <f t="shared" si="56"/>
        <v>1915000</v>
      </c>
      <c r="T38" s="14">
        <f t="shared" si="56"/>
        <v>1954000</v>
      </c>
      <c r="U38" s="4" t="s">
        <v>42</v>
      </c>
      <c r="V38" s="33">
        <v>24</v>
      </c>
      <c r="W38" s="14">
        <f t="shared" ref="W38:AD38" si="57">ROUND(W65+W93+W121,-3)</f>
        <v>2248000</v>
      </c>
      <c r="X38" s="14">
        <f t="shared" si="57"/>
        <v>2598000</v>
      </c>
      <c r="Y38" s="14">
        <f t="shared" si="57"/>
        <v>3241000</v>
      </c>
      <c r="Z38" s="14">
        <f t="shared" si="57"/>
        <v>1885000</v>
      </c>
      <c r="AA38" s="14">
        <f t="shared" si="57"/>
        <v>2657000</v>
      </c>
      <c r="AB38" s="14">
        <f t="shared" si="57"/>
        <v>2638000</v>
      </c>
      <c r="AC38" s="14">
        <f t="shared" si="57"/>
        <v>3292000</v>
      </c>
      <c r="AD38" s="14">
        <f t="shared" si="57"/>
        <v>3387000</v>
      </c>
    </row>
    <row r="39" spans="1:30" x14ac:dyDescent="0.25">
      <c r="A39" s="4" t="s">
        <v>42</v>
      </c>
      <c r="B39" s="33">
        <v>25</v>
      </c>
      <c r="C39" s="14">
        <f t="shared" ref="C39:J39" si="58">ROUND(C66+C94+C122,-3)</f>
        <v>2265000</v>
      </c>
      <c r="D39" s="14">
        <f t="shared" si="58"/>
        <v>2526000</v>
      </c>
      <c r="E39" s="14">
        <f t="shared" si="58"/>
        <v>2966000</v>
      </c>
      <c r="F39" s="14">
        <f t="shared" si="58"/>
        <v>1802000</v>
      </c>
      <c r="G39" s="14">
        <f t="shared" si="58"/>
        <v>2364000</v>
      </c>
      <c r="H39" s="14">
        <f t="shared" si="58"/>
        <v>2266000</v>
      </c>
      <c r="I39" s="14">
        <f t="shared" si="58"/>
        <v>2795000</v>
      </c>
      <c r="J39" s="14">
        <f t="shared" si="58"/>
        <v>2874000</v>
      </c>
      <c r="K39" s="4" t="s">
        <v>42</v>
      </c>
      <c r="L39" s="33">
        <v>25</v>
      </c>
      <c r="M39" s="14">
        <f t="shared" ref="M39:T39" si="59">ROUND(M66+M94+M122,-3)</f>
        <v>2145000</v>
      </c>
      <c r="N39" s="14">
        <f t="shared" si="59"/>
        <v>2284000</v>
      </c>
      <c r="O39" s="14">
        <f t="shared" si="59"/>
        <v>2474000</v>
      </c>
      <c r="P39" s="14">
        <f t="shared" si="59"/>
        <v>1595000</v>
      </c>
      <c r="Q39" s="14">
        <f t="shared" si="59"/>
        <v>1887000</v>
      </c>
      <c r="R39" s="14">
        <f t="shared" si="59"/>
        <v>1696000</v>
      </c>
      <c r="S39" s="14">
        <f t="shared" si="59"/>
        <v>2065000</v>
      </c>
      <c r="T39" s="14">
        <f t="shared" si="59"/>
        <v>2108000</v>
      </c>
      <c r="U39" s="4" t="s">
        <v>42</v>
      </c>
      <c r="V39" s="33">
        <v>25</v>
      </c>
      <c r="W39" s="14">
        <f t="shared" ref="W39:AD39" si="60">ROUND(W66+W94+W122,-3)</f>
        <v>2384000</v>
      </c>
      <c r="X39" s="14">
        <f t="shared" si="60"/>
        <v>2768000</v>
      </c>
      <c r="Y39" s="14">
        <f t="shared" si="60"/>
        <v>3458000</v>
      </c>
      <c r="Z39" s="14">
        <f t="shared" si="60"/>
        <v>2010000</v>
      </c>
      <c r="AA39" s="14">
        <f t="shared" si="60"/>
        <v>2842000</v>
      </c>
      <c r="AB39" s="14">
        <f t="shared" si="60"/>
        <v>2836000</v>
      </c>
      <c r="AC39" s="14">
        <f t="shared" si="60"/>
        <v>3524000</v>
      </c>
      <c r="AD39" s="14">
        <f t="shared" si="60"/>
        <v>3640000</v>
      </c>
    </row>
    <row r="40" spans="1:30" ht="30" x14ac:dyDescent="0.25">
      <c r="A40" s="38" t="s">
        <v>149</v>
      </c>
      <c r="B40" s="34"/>
      <c r="C40" s="37"/>
      <c r="K40" s="38" t="s">
        <v>149</v>
      </c>
      <c r="L40" s="34"/>
      <c r="M40" s="37"/>
      <c r="U40" s="38" t="s">
        <v>149</v>
      </c>
      <c r="V40" s="34"/>
      <c r="W40" s="37"/>
    </row>
    <row r="41" spans="1:30" x14ac:dyDescent="0.25">
      <c r="A41" s="4" t="s">
        <v>42</v>
      </c>
      <c r="B41" s="33">
        <v>0</v>
      </c>
      <c r="C41" s="14">
        <f>0</f>
        <v>0</v>
      </c>
      <c r="D41" s="14">
        <f>0</f>
        <v>0</v>
      </c>
      <c r="E41" s="14">
        <f>0</f>
        <v>0</v>
      </c>
      <c r="F41" s="14">
        <f>0</f>
        <v>0</v>
      </c>
      <c r="G41" s="14">
        <f>0</f>
        <v>0</v>
      </c>
      <c r="H41" s="14">
        <f>0</f>
        <v>0</v>
      </c>
      <c r="I41" s="14">
        <f>0</f>
        <v>0</v>
      </c>
      <c r="J41" s="14">
        <f>0</f>
        <v>0</v>
      </c>
      <c r="K41" s="4" t="s">
        <v>42</v>
      </c>
      <c r="L41" s="33">
        <v>0</v>
      </c>
      <c r="M41" s="14">
        <f>0</f>
        <v>0</v>
      </c>
      <c r="N41" s="14">
        <f>0</f>
        <v>0</v>
      </c>
      <c r="O41" s="14">
        <f>0</f>
        <v>0</v>
      </c>
      <c r="P41" s="14">
        <f>0</f>
        <v>0</v>
      </c>
      <c r="Q41" s="14">
        <f>0</f>
        <v>0</v>
      </c>
      <c r="R41" s="14">
        <f>0</f>
        <v>0</v>
      </c>
      <c r="S41" s="14">
        <f>0</f>
        <v>0</v>
      </c>
      <c r="T41" s="14">
        <f>0</f>
        <v>0</v>
      </c>
      <c r="U41" s="4" t="s">
        <v>42</v>
      </c>
      <c r="V41" s="33">
        <v>0</v>
      </c>
      <c r="W41" s="14">
        <f>0</f>
        <v>0</v>
      </c>
      <c r="X41" s="14">
        <f>0</f>
        <v>0</v>
      </c>
      <c r="Y41" s="14">
        <f>0</f>
        <v>0</v>
      </c>
      <c r="Z41" s="14">
        <f>0</f>
        <v>0</v>
      </c>
      <c r="AA41" s="14">
        <f>0</f>
        <v>0</v>
      </c>
      <c r="AB41" s="14">
        <f>0</f>
        <v>0</v>
      </c>
      <c r="AC41" s="14">
        <f>0</f>
        <v>0</v>
      </c>
      <c r="AD41" s="14">
        <f>0</f>
        <v>0</v>
      </c>
    </row>
    <row r="42" spans="1:30" x14ac:dyDescent="0.25">
      <c r="A42" s="4" t="s">
        <v>42</v>
      </c>
      <c r="B42" s="33">
        <v>1</v>
      </c>
      <c r="C42" s="14">
        <f>C$5+'Pax Operate Maint'!C$4</f>
        <v>379843.16384918249</v>
      </c>
      <c r="D42" s="14">
        <f>D$5+'Pax Operate Maint'!D$4</f>
        <v>421072.47256190551</v>
      </c>
      <c r="E42" s="14">
        <f>E$5+'Pax Operate Maint'!E$4</f>
        <v>451828.03981908434</v>
      </c>
      <c r="F42" s="14">
        <f>F$5+'Pax Operate Maint'!F$4</f>
        <v>256964.51211444358</v>
      </c>
      <c r="G42" s="14">
        <f>G$5+'Pax Operate Maint'!G$4</f>
        <v>273946.11210326909</v>
      </c>
      <c r="H42" s="14">
        <f>H$5+'Pax Operate Maint'!H$4</f>
        <v>276679.18568748422</v>
      </c>
      <c r="I42" s="14">
        <f>I$5+'Pax Operate Maint'!I$4</f>
        <v>265353.06336178584</v>
      </c>
      <c r="J42" s="14">
        <f>J$5+'Pax Operate Maint'!J$4</f>
        <v>303607.54655710107</v>
      </c>
      <c r="K42" s="4" t="s">
        <v>42</v>
      </c>
      <c r="L42" s="33">
        <v>1</v>
      </c>
      <c r="M42" s="14">
        <f>M$5+'Pax Operate Maint'!M$4</f>
        <v>384158.43094054499</v>
      </c>
      <c r="N42" s="14">
        <f>N$5+'Pax Operate Maint'!N$4</f>
        <v>411455.17035718111</v>
      </c>
      <c r="O42" s="14">
        <f>O$5+'Pax Operate Maint'!O$4</f>
        <v>432207.19837330119</v>
      </c>
      <c r="P42" s="14">
        <f>P$5+'Pax Operate Maint'!P$4</f>
        <v>247525.70634132333</v>
      </c>
      <c r="Q42" s="14">
        <f>Q$5+'Pax Operate Maint'!Q$4</f>
        <v>251364.68319311197</v>
      </c>
      <c r="R42" s="14">
        <f>R$5+'Pax Operate Maint'!R$4</f>
        <v>232991.94060480705</v>
      </c>
      <c r="S42" s="14">
        <f>S$5+'Pax Operate Maint'!S$4</f>
        <v>233600.44593891833</v>
      </c>
      <c r="T42" s="14">
        <f>T$5+'Pax Operate Maint'!T$4</f>
        <v>257999.26345500478</v>
      </c>
      <c r="U42" s="4" t="s">
        <v>42</v>
      </c>
      <c r="V42" s="33">
        <v>1</v>
      </c>
      <c r="W42" s="14">
        <f>W$5+'Pax Operate Maint'!W$4</f>
        <v>375527.89675781998</v>
      </c>
      <c r="X42" s="14">
        <f>X$5+'Pax Operate Maint'!X$4</f>
        <v>430689.77476662991</v>
      </c>
      <c r="Y42" s="14">
        <f>Y$5+'Pax Operate Maint'!Y$4</f>
        <v>471448.88126486749</v>
      </c>
      <c r="Z42" s="14">
        <f>Z$5+'Pax Operate Maint'!Z$4</f>
        <v>266403.31788756384</v>
      </c>
      <c r="AA42" s="14">
        <f>AA$5+'Pax Operate Maint'!AA$4</f>
        <v>296527.54101342621</v>
      </c>
      <c r="AB42" s="14">
        <f>AB$5+'Pax Operate Maint'!AB$4</f>
        <v>320366.43077016145</v>
      </c>
      <c r="AC42" s="14">
        <f>AC$5+'Pax Operate Maint'!AC$4</f>
        <v>297105.68078465341</v>
      </c>
      <c r="AD42" s="14">
        <f>AD$5+'Pax Operate Maint'!AD$4</f>
        <v>349215.8296591973</v>
      </c>
    </row>
    <row r="43" spans="1:30" x14ac:dyDescent="0.25">
      <c r="A43" s="4" t="s">
        <v>42</v>
      </c>
      <c r="B43" s="33">
        <v>2</v>
      </c>
      <c r="C43" s="14">
        <f>C$5*((1+'User Inputs'!$E$9)^$B42)+C$4*((1+'User Inputs'!$E$12)^$B42)</f>
        <v>397392.54373410076</v>
      </c>
      <c r="D43" s="14">
        <f>D$5*((1+'User Inputs'!$E$9)^$B42)+D$4*((1+'User Inputs'!$E$12)^$B42)</f>
        <v>441402.62981809606</v>
      </c>
      <c r="E43" s="14">
        <f>E$5*((1+'User Inputs'!$E$9)^$B42)+E$4*((1+'User Inputs'!$E$12)^$B42)</f>
        <v>475233.75380099285</v>
      </c>
      <c r="F43" s="14">
        <f>F$5*((1+'User Inputs'!$E$9)^$B42)+F$4*((1+'User Inputs'!$E$12)^$B42)</f>
        <v>270654.13532588794</v>
      </c>
      <c r="G43" s="14">
        <f>G$5*((1+'User Inputs'!$E$9)^$B42)+G$4*((1+'User Inputs'!$E$12)^$B42)</f>
        <v>291570.461313596</v>
      </c>
      <c r="H43" s="14">
        <f>H$5*((1+'User Inputs'!$E$9)^$B42)+H$4*((1+'User Inputs'!$E$12)^$B42)</f>
        <v>294576.84225623269</v>
      </c>
      <c r="I43" s="14">
        <f>I$5*((1+'User Inputs'!$E$9)^$B42)+I$4*((1+'User Inputs'!$E$12)^$B42)</f>
        <v>285649.52769796446</v>
      </c>
      <c r="J43" s="14">
        <f>J$5*((1+'User Inputs'!$E$9)^$B42)+J$4*((1+'User Inputs'!$E$12)^$B42)</f>
        <v>326115.41121281119</v>
      </c>
      <c r="K43" s="4" t="s">
        <v>42</v>
      </c>
      <c r="L43" s="33">
        <v>2</v>
      </c>
      <c r="M43" s="14">
        <f>M$5*((1+'User Inputs'!$E$9)^$B42)+M$4*((1+'User Inputs'!$E$12)^$B42)</f>
        <v>402139.33753459953</v>
      </c>
      <c r="N43" s="14">
        <f>N$5*((1+'User Inputs'!$E$9)^$B42)+N$4*((1+'User Inputs'!$E$12)^$B42)</f>
        <v>430823.59739289922</v>
      </c>
      <c r="O43" s="14">
        <f>O$5*((1+'User Inputs'!$E$9)^$B42)+O$4*((1+'User Inputs'!$E$12)^$B42)</f>
        <v>453650.82821063133</v>
      </c>
      <c r="P43" s="14">
        <f>P$5*((1+'User Inputs'!$E$9)^$B42)+P$4*((1+'User Inputs'!$E$12)^$B42)</f>
        <v>260271.44897545566</v>
      </c>
      <c r="Q43" s="14">
        <f>Q$5*((1+'User Inputs'!$E$9)^$B42)+Q$4*((1+'User Inputs'!$E$12)^$B42)</f>
        <v>266730.88951242319</v>
      </c>
      <c r="R43" s="14">
        <f>R$5*((1+'User Inputs'!$E$9)^$B42)+R$4*((1+'User Inputs'!$E$12)^$B42)</f>
        <v>246520.87266528778</v>
      </c>
      <c r="S43" s="14">
        <f>S$5*((1+'User Inputs'!$E$9)^$B42)+S$4*((1+'User Inputs'!$E$12)^$B42)</f>
        <v>250721.64853281016</v>
      </c>
      <c r="T43" s="14">
        <f>T$5*((1+'User Inputs'!$E$9)^$B42)+T$4*((1+'User Inputs'!$E$12)^$B42)</f>
        <v>275946.29980050528</v>
      </c>
      <c r="U43" s="4" t="s">
        <v>42</v>
      </c>
      <c r="V43" s="33">
        <v>2</v>
      </c>
      <c r="W43" s="14">
        <f>W$5*((1+'User Inputs'!$E$9)^$B42)+W$4*((1+'User Inputs'!$E$12)^$B42)</f>
        <v>392645.749933602</v>
      </c>
      <c r="X43" s="14">
        <f>X$5*((1+'User Inputs'!$E$9)^$B42)+X$4*((1+'User Inputs'!$E$12)^$B42)</f>
        <v>451981.6622432929</v>
      </c>
      <c r="Y43" s="14">
        <f>Y$5*((1+'User Inputs'!$E$9)^$B42)+Y$4*((1+'User Inputs'!$E$12)^$B42)</f>
        <v>496816.67939135426</v>
      </c>
      <c r="Z43" s="14">
        <f>Z$5*((1+'User Inputs'!$E$9)^$B42)+Z$4*((1+'User Inputs'!$E$12)^$B42)</f>
        <v>281036.82167632022</v>
      </c>
      <c r="AA43" s="14">
        <f>AA$5*((1+'User Inputs'!$E$9)^$B42)+AA$4*((1+'User Inputs'!$E$12)^$B42)</f>
        <v>316410.0331147688</v>
      </c>
      <c r="AB43" s="14">
        <f>AB$5*((1+'User Inputs'!$E$9)^$B42)+AB$4*((1+'User Inputs'!$E$12)^$B42)</f>
        <v>342632.81184717757</v>
      </c>
      <c r="AC43" s="14">
        <f>AC$5*((1+'User Inputs'!$E$9)^$B42)+AC$4*((1+'User Inputs'!$E$12)^$B42)</f>
        <v>320577.40686311875</v>
      </c>
      <c r="AD43" s="14">
        <f>AD$5*((1+'User Inputs'!$E$9)^$B42)+AD$4*((1+'User Inputs'!$E$12)^$B42)</f>
        <v>376284.5226251171</v>
      </c>
    </row>
    <row r="44" spans="1:30" x14ac:dyDescent="0.25">
      <c r="A44" s="4" t="s">
        <v>42</v>
      </c>
      <c r="B44" s="33">
        <v>3</v>
      </c>
      <c r="C44" s="14">
        <f>C$5*((1+'User Inputs'!$E$9)^$B43)+C$4*((1+'User Inputs'!$E$12)^$B43)</f>
        <v>416288.16287751088</v>
      </c>
      <c r="D44" s="14">
        <f>D$5*((1+'User Inputs'!$E$9)^$B43)+D$4*((1+'User Inputs'!$E$12)^$B43)</f>
        <v>463330.26099990564</v>
      </c>
      <c r="E44" s="14">
        <f>E$5*((1+'User Inputs'!$E$9)^$B43)+E$4*((1+'User Inputs'!$E$12)^$B43)</f>
        <v>500544.49738109205</v>
      </c>
      <c r="F44" s="14">
        <f>F$5*((1+'User Inputs'!$E$9)^$B43)+F$4*((1+'User Inputs'!$E$12)^$B43)</f>
        <v>285472.58429847675</v>
      </c>
      <c r="G44" s="14">
        <f>G$5*((1+'User Inputs'!$E$9)^$B43)+G$4*((1+'User Inputs'!$E$12)^$B43)</f>
        <v>310761.8402049556</v>
      </c>
      <c r="H44" s="14">
        <f>H$5*((1+'User Inputs'!$E$9)^$B43)+H$4*((1+'User Inputs'!$E$12)^$B43)</f>
        <v>314068.85924185597</v>
      </c>
      <c r="I44" s="14">
        <f>I$5*((1+'User Inputs'!$E$9)^$B43)+I$4*((1+'User Inputs'!$E$12)^$B43)</f>
        <v>307850.86162776093</v>
      </c>
      <c r="J44" s="14">
        <f>J$5*((1+'User Inputs'!$E$9)^$B43)+J$4*((1+'User Inputs'!$E$12)^$B43)</f>
        <v>350717.00453409232</v>
      </c>
      <c r="K44" s="4" t="s">
        <v>42</v>
      </c>
      <c r="L44" s="33">
        <v>3</v>
      </c>
      <c r="M44" s="14">
        <f>M$5*((1+'User Inputs'!$E$9)^$B43)+M$4*((1+'User Inputs'!$E$12)^$B43)</f>
        <v>421509.63605805946</v>
      </c>
      <c r="N44" s="14">
        <f>N$5*((1+'User Inputs'!$E$9)^$B43)+N$4*((1+'User Inputs'!$E$12)^$B43)</f>
        <v>451693.3253321891</v>
      </c>
      <c r="O44" s="14">
        <f>O$5*((1+'User Inputs'!$E$9)^$B43)+O$4*((1+'User Inputs'!$E$12)^$B43)</f>
        <v>476803.27923169441</v>
      </c>
      <c r="P44" s="14">
        <f>P$5*((1+'User Inputs'!$E$9)^$B43)+P$4*((1+'User Inputs'!$E$12)^$B43)</f>
        <v>274051.62931300123</v>
      </c>
      <c r="Q44" s="14">
        <f>Q$5*((1+'User Inputs'!$E$9)^$B43)+Q$4*((1+'User Inputs'!$E$12)^$B43)</f>
        <v>283438.31122366549</v>
      </c>
      <c r="R44" s="14">
        <f>R$5*((1+'User Inputs'!$E$9)^$B43)+R$4*((1+'User Inputs'!$E$12)^$B43)</f>
        <v>261207.29269181658</v>
      </c>
      <c r="S44" s="14">
        <f>S$5*((1+'User Inputs'!$E$9)^$B43)+S$4*((1+'User Inputs'!$E$12)^$B43)</f>
        <v>269430.1945460912</v>
      </c>
      <c r="T44" s="14">
        <f>T$5*((1+'User Inputs'!$E$9)^$B43)+T$4*((1+'User Inputs'!$E$12)^$B43)</f>
        <v>295530.98198055581</v>
      </c>
      <c r="U44" s="4" t="s">
        <v>42</v>
      </c>
      <c r="V44" s="33">
        <v>3</v>
      </c>
      <c r="W44" s="14">
        <f>W$5*((1+'User Inputs'!$E$9)^$B43)+W$4*((1+'User Inputs'!$E$12)^$B43)</f>
        <v>411066.68969696219</v>
      </c>
      <c r="X44" s="14">
        <f>X$5*((1+'User Inputs'!$E$9)^$B43)+X$4*((1+'User Inputs'!$E$12)^$B43)</f>
        <v>474967.19666762219</v>
      </c>
      <c r="Y44" s="14">
        <f>Y$5*((1+'User Inputs'!$E$9)^$B43)+Y$4*((1+'User Inputs'!$E$12)^$B43)</f>
        <v>524285.71553048969</v>
      </c>
      <c r="Z44" s="14">
        <f>Z$5*((1+'User Inputs'!$E$9)^$B43)+Z$4*((1+'User Inputs'!$E$12)^$B43)</f>
        <v>296893.53928395221</v>
      </c>
      <c r="AA44" s="14">
        <f>AA$5*((1+'User Inputs'!$E$9)^$B43)+AA$4*((1+'User Inputs'!$E$12)^$B43)</f>
        <v>338085.36918624572</v>
      </c>
      <c r="AB44" s="14">
        <f>AB$5*((1+'User Inputs'!$E$9)^$B43)+AB$4*((1+'User Inputs'!$E$12)^$B43)</f>
        <v>366930.42579189537</v>
      </c>
      <c r="AC44" s="14">
        <f>AC$5*((1+'User Inputs'!$E$9)^$B43)+AC$4*((1+'User Inputs'!$E$12)^$B43)</f>
        <v>346271.5287094306</v>
      </c>
      <c r="AD44" s="14">
        <f>AD$5*((1+'User Inputs'!$E$9)^$B43)+AD$4*((1+'User Inputs'!$E$12)^$B43)</f>
        <v>405903.02708762878</v>
      </c>
    </row>
    <row r="45" spans="1:30" x14ac:dyDescent="0.25">
      <c r="A45" s="4" t="s">
        <v>42</v>
      </c>
      <c r="B45" s="33">
        <v>4</v>
      </c>
      <c r="C45" s="14">
        <f>C$5*((1+'User Inputs'!$E$9)^$B44)+C$4*((1+'User Inputs'!$E$12)^$B44)</f>
        <v>436656.47123066196</v>
      </c>
      <c r="D45" s="14">
        <f>D$5*((1+'User Inputs'!$E$9)^$B44)+D$4*((1+'User Inputs'!$E$12)^$B44)</f>
        <v>487006.40266389621</v>
      </c>
      <c r="E45" s="14">
        <f>E$5*((1+'User Inputs'!$E$9)^$B44)+E$4*((1+'User Inputs'!$E$12)^$B44)</f>
        <v>527942.06268320128</v>
      </c>
      <c r="F45" s="14">
        <f>F$5*((1+'User Inputs'!$E$9)^$B44)+F$4*((1+'User Inputs'!$E$12)^$B44)</f>
        <v>301527.93887712446</v>
      </c>
      <c r="G45" s="14">
        <f>G$5*((1+'User Inputs'!$E$9)^$B44)+G$4*((1+'User Inputs'!$E$12)^$B44)</f>
        <v>331673.04364065122</v>
      </c>
      <c r="H45" s="14">
        <f>H$5*((1+'User Inputs'!$E$9)^$B44)+H$4*((1+'User Inputs'!$E$12)^$B44)</f>
        <v>335310.76458124159</v>
      </c>
      <c r="I45" s="14">
        <f>I$5*((1+'User Inputs'!$E$9)^$B44)+I$4*((1+'User Inputs'!$E$12)^$B44)</f>
        <v>332145.05657373701</v>
      </c>
      <c r="J45" s="14">
        <f>J$5*((1+'User Inputs'!$E$9)^$B44)+J$4*((1+'User Inputs'!$E$12)^$B44)</f>
        <v>377618.55823150155</v>
      </c>
      <c r="K45" s="4" t="s">
        <v>42</v>
      </c>
      <c r="L45" s="33">
        <v>4</v>
      </c>
      <c r="M45" s="14">
        <f>M$5*((1+'User Inputs'!$E$9)^$B44)+M$4*((1+'User Inputs'!$E$12)^$B44)</f>
        <v>442400.0917292654</v>
      </c>
      <c r="N45" s="14">
        <f>N$5*((1+'User Inputs'!$E$9)^$B44)+N$4*((1+'User Inputs'!$E$12)^$B44)</f>
        <v>474205.77342940803</v>
      </c>
      <c r="O45" s="14">
        <f>O$5*((1+'User Inputs'!$E$9)^$B44)+O$4*((1+'User Inputs'!$E$12)^$B44)</f>
        <v>501826.72271886386</v>
      </c>
      <c r="P45" s="14">
        <f>P$5*((1+'User Inputs'!$E$9)^$B44)+P$4*((1+'User Inputs'!$E$12)^$B44)</f>
        <v>288964.8883931014</v>
      </c>
      <c r="Q45" s="14">
        <f>Q$5*((1+'User Inputs'!$E$9)^$B44)+Q$4*((1+'User Inputs'!$E$12)^$B44)</f>
        <v>301617.16176123207</v>
      </c>
      <c r="R45" s="14">
        <f>R$5*((1+'User Inputs'!$E$9)^$B44)+R$4*((1+'User Inputs'!$E$12)^$B44)</f>
        <v>277163.04137619823</v>
      </c>
      <c r="S45" s="14">
        <f>S$5*((1+'User Inputs'!$E$9)^$B44)+S$4*((1+'User Inputs'!$E$12)^$B44)</f>
        <v>289882.32278390037</v>
      </c>
      <c r="T45" s="14">
        <f>T$5*((1+'User Inputs'!$E$9)^$B44)+T$4*((1+'User Inputs'!$E$12)^$B44)</f>
        <v>316913.93342261139</v>
      </c>
      <c r="U45" s="4" t="s">
        <v>42</v>
      </c>
      <c r="V45" s="33">
        <v>4</v>
      </c>
      <c r="W45" s="14">
        <f>W$5*((1+'User Inputs'!$E$9)^$B44)+W$4*((1+'User Inputs'!$E$12)^$B44)</f>
        <v>430912.8507320584</v>
      </c>
      <c r="X45" s="14">
        <f>X$5*((1+'User Inputs'!$E$9)^$B44)+X$4*((1+'User Inputs'!$E$12)^$B44)</f>
        <v>499807.03189838445</v>
      </c>
      <c r="Y45" s="14">
        <f>Y$5*((1+'User Inputs'!$E$9)^$B44)+Y$4*((1+'User Inputs'!$E$12)^$B44)</f>
        <v>554057.40264753858</v>
      </c>
      <c r="Z45" s="14">
        <f>Z$5*((1+'User Inputs'!$E$9)^$B44)+Z$4*((1+'User Inputs'!$E$12)^$B44)</f>
        <v>314090.98936114751</v>
      </c>
      <c r="AA45" s="14">
        <f>AA$5*((1+'User Inputs'!$E$9)^$B44)+AA$4*((1+'User Inputs'!$E$12)^$B44)</f>
        <v>361728.92552007036</v>
      </c>
      <c r="AB45" s="14">
        <f>AB$5*((1+'User Inputs'!$E$9)^$B44)+AB$4*((1+'User Inputs'!$E$12)^$B44)</f>
        <v>393458.48778628488</v>
      </c>
      <c r="AC45" s="14">
        <f>AC$5*((1+'User Inputs'!$E$9)^$B44)+AC$4*((1+'User Inputs'!$E$12)^$B44)</f>
        <v>374407.79036357376</v>
      </c>
      <c r="AD45" s="14">
        <f>AD$5*((1+'User Inputs'!$E$9)^$B44)+AD$4*((1+'User Inputs'!$E$12)^$B44)</f>
        <v>438323.18304039171</v>
      </c>
    </row>
    <row r="46" spans="1:30" x14ac:dyDescent="0.25">
      <c r="A46" s="4" t="s">
        <v>42</v>
      </c>
      <c r="B46" s="33">
        <v>5</v>
      </c>
      <c r="C46" s="14">
        <f>C$5*((1+'User Inputs'!$E$9)^$B45)+C$4*((1+'User Inputs'!$E$12)^$B45)</f>
        <v>458636.40026043612</v>
      </c>
      <c r="D46" s="14">
        <f>D$5*((1+'User Inputs'!$E$9)^$B45)+D$4*((1+'User Inputs'!$E$12)^$B45)</f>
        <v>512597.02080556587</v>
      </c>
      <c r="E46" s="14">
        <f>E$5*((1+'User Inputs'!$E$9)^$B45)+E$4*((1+'User Inputs'!$E$12)^$B45)</f>
        <v>557626.24682680145</v>
      </c>
      <c r="F46" s="14">
        <f>F$5*((1+'User Inputs'!$E$9)^$B45)+F$4*((1+'User Inputs'!$E$12)^$B45)</f>
        <v>318938.99083661288</v>
      </c>
      <c r="G46" s="14">
        <f>G$5*((1+'User Inputs'!$E$9)^$B45)+G$4*((1+'User Inputs'!$E$12)^$B45)</f>
        <v>354472.06780822034</v>
      </c>
      <c r="H46" s="14">
        <f>H$5*((1+'User Inputs'!$E$9)^$B45)+H$4*((1+'User Inputs'!$E$12)^$B45)</f>
        <v>358473.5608428698</v>
      </c>
      <c r="I46" s="14">
        <f>I$5*((1+'User Inputs'!$E$9)^$B45)+I$4*((1+'User Inputs'!$E$12)^$B45)</f>
        <v>358738.85318997467</v>
      </c>
      <c r="J46" s="14">
        <f>J$5*((1+'User Inputs'!$E$9)^$B45)+J$4*((1+'User Inputs'!$E$12)^$B45)</f>
        <v>407046.8643635317</v>
      </c>
      <c r="K46" s="4" t="s">
        <v>42</v>
      </c>
      <c r="L46" s="33">
        <v>5</v>
      </c>
      <c r="M46" s="14">
        <f>M$5*((1+'User Inputs'!$E$9)^$B45)+M$4*((1+'User Inputs'!$E$12)^$B45)</f>
        <v>464954.38280889997</v>
      </c>
      <c r="N46" s="14">
        <f>N$5*((1+'User Inputs'!$E$9)^$B45)+N$4*((1+'User Inputs'!$E$12)^$B45)</f>
        <v>498516.32864762883</v>
      </c>
      <c r="O46" s="14">
        <f>O$5*((1+'User Inputs'!$E$9)^$B45)+O$4*((1+'User Inputs'!$E$12)^$B45)</f>
        <v>528899.37286603032</v>
      </c>
      <c r="P46" s="14">
        <f>P$5*((1+'User Inputs'!$E$9)^$B45)+P$4*((1+'User Inputs'!$E$12)^$B45)</f>
        <v>305119.63530418754</v>
      </c>
      <c r="Q46" s="14">
        <f>Q$5*((1+'User Inputs'!$E$9)^$B45)+Q$4*((1+'User Inputs'!$E$12)^$B45)</f>
        <v>321410.59774085926</v>
      </c>
      <c r="R46" s="14">
        <f>R$5*((1+'User Inputs'!$E$9)^$B45)+R$4*((1+'User Inputs'!$E$12)^$B45)</f>
        <v>294511.06531732209</v>
      </c>
      <c r="S46" s="14">
        <f>S$5*((1+'User Inputs'!$E$9)^$B45)+S$4*((1+'User Inputs'!$E$12)^$B45)</f>
        <v>312249.84602115443</v>
      </c>
      <c r="T46" s="14">
        <f>T$5*((1+'User Inputs'!$E$9)^$B45)+T$4*((1+'User Inputs'!$E$12)^$B45)</f>
        <v>340271.77707375248</v>
      </c>
      <c r="U46" s="4" t="s">
        <v>42</v>
      </c>
      <c r="V46" s="33">
        <v>5</v>
      </c>
      <c r="W46" s="14">
        <f>W$5*((1+'User Inputs'!$E$9)^$B45)+W$4*((1+'User Inputs'!$E$12)^$B45)</f>
        <v>452318.41771197226</v>
      </c>
      <c r="X46" s="14">
        <f>X$5*((1+'User Inputs'!$E$9)^$B45)+X$4*((1+'User Inputs'!$E$12)^$B45)</f>
        <v>526677.71296350285</v>
      </c>
      <c r="Y46" s="14">
        <f>Y$5*((1+'User Inputs'!$E$9)^$B45)+Y$4*((1+'User Inputs'!$E$12)^$B45)</f>
        <v>586353.12078757258</v>
      </c>
      <c r="Z46" s="14">
        <f>Z$5*((1+'User Inputs'!$E$9)^$B45)+Z$4*((1+'User Inputs'!$E$12)^$B45)</f>
        <v>332758.34636903822</v>
      </c>
      <c r="AA46" s="14">
        <f>AA$5*((1+'User Inputs'!$E$9)^$B45)+AA$4*((1+'User Inputs'!$E$12)^$B45)</f>
        <v>387533.53787558142</v>
      </c>
      <c r="AB46" s="14">
        <f>AB$5*((1+'User Inputs'!$E$9)^$B45)+AB$4*((1+'User Inputs'!$E$12)^$B45)</f>
        <v>422436.05636841746</v>
      </c>
      <c r="AC46" s="14">
        <f>AC$5*((1+'User Inputs'!$E$9)^$B45)+AC$4*((1+'User Inputs'!$E$12)^$B45)</f>
        <v>405227.86035879515</v>
      </c>
      <c r="AD46" s="14">
        <f>AD$5*((1+'User Inputs'!$E$9)^$B45)+AD$4*((1+'User Inputs'!$E$12)^$B45)</f>
        <v>473821.95165331091</v>
      </c>
    </row>
    <row r="47" spans="1:30" x14ac:dyDescent="0.25">
      <c r="A47" s="4" t="s">
        <v>42</v>
      </c>
      <c r="B47" s="33">
        <v>6</v>
      </c>
      <c r="C47" s="14">
        <f>C$5*((1+'User Inputs'!$E$9)^$B46)+C$4*((1+'User Inputs'!$E$12)^$B46)</f>
        <v>482380.60783132195</v>
      </c>
      <c r="D47" s="14">
        <f>D$5*((1+'User Inputs'!$E$9)^$B46)+D$4*((1+'User Inputs'!$E$12)^$B46)</f>
        <v>540284.50031890813</v>
      </c>
      <c r="E47" s="14">
        <f>E$5*((1+'User Inputs'!$E$9)^$B46)+E$4*((1+'User Inputs'!$E$12)^$B46)</f>
        <v>589816.64894226729</v>
      </c>
      <c r="F47" s="14">
        <f>F$5*((1+'User Inputs'!$E$9)^$B46)+F$4*((1+'User Inputs'!$E$12)^$B46)</f>
        <v>337836.31315348571</v>
      </c>
      <c r="G47" s="14">
        <f>G$5*((1+'User Inputs'!$E$9)^$B46)+G$4*((1+'User Inputs'!$E$12)^$B46)</f>
        <v>379343.62878861651</v>
      </c>
      <c r="H47" s="14">
        <f>H$5*((1+'User Inputs'!$E$9)^$B46)+H$4*((1+'User Inputs'!$E$12)^$B46)</f>
        <v>383745.27112673083</v>
      </c>
      <c r="I47" s="14">
        <f>I$5*((1+'User Inputs'!$E$9)^$B46)+I$4*((1+'User Inputs'!$E$12)^$B46)</f>
        <v>387859.61528701347</v>
      </c>
      <c r="J47" s="14">
        <f>J$5*((1+'User Inputs'!$E$9)^$B46)+J$4*((1+'User Inputs'!$E$12)^$B46)</f>
        <v>439251.33011494251</v>
      </c>
      <c r="K47" s="4" t="s">
        <v>42</v>
      </c>
      <c r="L47" s="33">
        <v>6</v>
      </c>
      <c r="M47" s="14">
        <f>M$5*((1+'User Inputs'!$E$9)^$B46)+M$4*((1+'User Inputs'!$E$12)^$B46)</f>
        <v>489330.38863463217</v>
      </c>
      <c r="N47" s="14">
        <f>N$5*((1+'User Inputs'!$E$9)^$B46)+N$4*((1+'User Inputs'!$E$12)^$B46)</f>
        <v>524795.73894517741</v>
      </c>
      <c r="O47" s="14">
        <f>O$5*((1+'User Inputs'!$E$9)^$B46)+O$4*((1+'User Inputs'!$E$12)^$B46)</f>
        <v>558217.08758541895</v>
      </c>
      <c r="P47" s="14">
        <f>P$5*((1+'User Inputs'!$E$9)^$B46)+P$4*((1+'User Inputs'!$E$12)^$B46)</f>
        <v>322635.02206781786</v>
      </c>
      <c r="Q47" s="14">
        <f>Q$5*((1+'User Inputs'!$E$9)^$B46)+Q$4*((1+'User Inputs'!$E$12)^$B46)</f>
        <v>342976.01171451935</v>
      </c>
      <c r="R47" s="14">
        <f>R$5*((1+'User Inputs'!$E$9)^$B46)+R$4*((1+'User Inputs'!$E$12)^$B46)</f>
        <v>313386.52604862838</v>
      </c>
      <c r="S47" s="14">
        <f>S$5*((1+'User Inputs'!$E$9)^$B46)+S$4*((1+'User Inputs'!$E$12)^$B46)</f>
        <v>336721.70740131114</v>
      </c>
      <c r="T47" s="14">
        <f>T$5*((1+'User Inputs'!$E$9)^$B46)+T$4*((1+'User Inputs'!$E$12)^$B46)</f>
        <v>365798.73409618542</v>
      </c>
      <c r="U47" s="4" t="s">
        <v>42</v>
      </c>
      <c r="V47" s="33">
        <v>6</v>
      </c>
      <c r="W47" s="14">
        <f>W$5*((1+'User Inputs'!$E$9)^$B46)+W$4*((1+'User Inputs'!$E$12)^$B46)</f>
        <v>475430.82702801167</v>
      </c>
      <c r="X47" s="14">
        <f>X$5*((1+'User Inputs'!$E$9)^$B46)+X$4*((1+'User Inputs'!$E$12)^$B46)</f>
        <v>555773.26169263886</v>
      </c>
      <c r="Y47" s="14">
        <f>Y$5*((1+'User Inputs'!$E$9)^$B46)+Y$4*((1+'User Inputs'!$E$12)^$B46)</f>
        <v>621416.2102991154</v>
      </c>
      <c r="Z47" s="14">
        <f>Z$5*((1+'User Inputs'!$E$9)^$B46)+Z$4*((1+'User Inputs'!$E$12)^$B46)</f>
        <v>353037.60423915356</v>
      </c>
      <c r="AA47" s="14">
        <f>AA$5*((1+'User Inputs'!$E$9)^$B46)+AA$4*((1+'User Inputs'!$E$12)^$B46)</f>
        <v>415711.24586271367</v>
      </c>
      <c r="AB47" s="14">
        <f>AB$5*((1+'User Inputs'!$E$9)^$B46)+AB$4*((1+'User Inputs'!$E$12)^$B46)</f>
        <v>454104.01620483329</v>
      </c>
      <c r="AC47" s="14">
        <f>AC$5*((1+'User Inputs'!$E$9)^$B46)+AC$4*((1+'User Inputs'!$E$12)^$B46)</f>
        <v>438997.52317271591</v>
      </c>
      <c r="AD47" s="14">
        <f>AD$5*((1+'User Inputs'!$E$9)^$B46)+AD$4*((1+'User Inputs'!$E$12)^$B46)</f>
        <v>512703.9261336996</v>
      </c>
    </row>
    <row r="48" spans="1:30" x14ac:dyDescent="0.25">
      <c r="A48" s="4" t="s">
        <v>42</v>
      </c>
      <c r="B48" s="33">
        <v>7</v>
      </c>
      <c r="C48" s="14">
        <f>C$5*((1+'User Inputs'!$E$9)^$B47)+C$4*((1+'User Inputs'!$E$12)^$B47)</f>
        <v>508056.84751019318</v>
      </c>
      <c r="D48" s="14">
        <f>D$5*((1+'User Inputs'!$E$9)^$B47)+D$4*((1+'User Inputs'!$E$12)^$B47)</f>
        <v>570269.2833322403</v>
      </c>
      <c r="E48" s="14">
        <f>E$5*((1+'User Inputs'!$E$9)^$B47)+E$4*((1+'User Inputs'!$E$12)^$B47)</f>
        <v>624754.64681793528</v>
      </c>
      <c r="F48" s="14">
        <f>F$5*((1+'User Inputs'!$E$9)^$B47)+F$4*((1+'User Inputs'!$E$12)^$B47)</f>
        <v>358363.4361667101</v>
      </c>
      <c r="G48" s="14">
        <f>G$5*((1+'User Inputs'!$E$9)^$B47)+G$4*((1+'User Inputs'!$E$12)^$B47)</f>
        <v>406490.83295104373</v>
      </c>
      <c r="H48" s="14">
        <f>H$5*((1+'User Inputs'!$E$9)^$B47)+H$4*((1+'User Inputs'!$E$12)^$B47)</f>
        <v>411332.63952296955</v>
      </c>
      <c r="I48" s="14">
        <f>I$5*((1+'User Inputs'!$E$9)^$B47)+I$4*((1+'User Inputs'!$E$12)^$B47)</f>
        <v>419757.39112931699</v>
      </c>
      <c r="J48" s="14">
        <f>J$5*((1+'User Inputs'!$E$9)^$B47)+J$4*((1+'User Inputs'!$E$12)^$B47)</f>
        <v>474506.23802779563</v>
      </c>
      <c r="K48" s="4" t="s">
        <v>42</v>
      </c>
      <c r="L48" s="33">
        <v>7</v>
      </c>
      <c r="M48" s="14">
        <f>M$5*((1+'User Inputs'!$E$9)^$B47)+M$4*((1+'User Inputs'!$E$12)^$B47)</f>
        <v>515701.60639383446</v>
      </c>
      <c r="N48" s="14">
        <f>N$5*((1+'User Inputs'!$E$9)^$B47)+N$4*((1+'User Inputs'!$E$12)^$B47)</f>
        <v>553231.64582113642</v>
      </c>
      <c r="O48" s="14">
        <f>O$5*((1+'User Inputs'!$E$9)^$B47)+O$4*((1+'User Inputs'!$E$12)^$B47)</f>
        <v>589995.1293254022</v>
      </c>
      <c r="P48" s="14">
        <f>P$5*((1+'User Inputs'!$E$9)^$B47)+P$4*((1+'User Inputs'!$E$12)^$B47)</f>
        <v>341642.0159724754</v>
      </c>
      <c r="Q48" s="14">
        <f>Q$5*((1+'User Inputs'!$E$9)^$B47)+Q$4*((1+'User Inputs'!$E$12)^$B47)</f>
        <v>366486.45416953682</v>
      </c>
      <c r="R48" s="14">
        <f>R$5*((1+'User Inputs'!$E$9)^$B47)+R$4*((1+'User Inputs'!$E$12)^$B47)</f>
        <v>333938.01993705682</v>
      </c>
      <c r="S48" s="14">
        <f>S$5*((1+'User Inputs'!$E$9)^$B47)+S$4*((1+'User Inputs'!$E$12)^$B47)</f>
        <v>363505.69245504442</v>
      </c>
      <c r="T48" s="14">
        <f>T$5*((1+'User Inputs'!$E$9)^$B47)+T$4*((1+'User Inputs'!$E$12)^$B47)</f>
        <v>393708.38240716275</v>
      </c>
      <c r="U48" s="4" t="s">
        <v>42</v>
      </c>
      <c r="V48" s="33">
        <v>7</v>
      </c>
      <c r="W48" s="14">
        <f>W$5*((1+'User Inputs'!$E$9)^$B47)+W$4*((1+'User Inputs'!$E$12)^$B47)</f>
        <v>500412.08862655191</v>
      </c>
      <c r="X48" s="14">
        <f>X$5*((1+'User Inputs'!$E$9)^$B47)+X$4*((1+'User Inputs'!$E$12)^$B47)</f>
        <v>587306.92084334407</v>
      </c>
      <c r="Y48" s="14">
        <f>Y$5*((1+'User Inputs'!$E$9)^$B47)+Y$4*((1+'User Inputs'!$E$12)^$B47)</f>
        <v>659514.16431046836</v>
      </c>
      <c r="Z48" s="14">
        <f>Z$5*((1+'User Inputs'!$E$9)^$B47)+Z$4*((1+'User Inputs'!$E$12)^$B47)</f>
        <v>375084.85636094474</v>
      </c>
      <c r="AA48" s="14">
        <f>AA$5*((1+'User Inputs'!$E$9)^$B47)+AA$4*((1+'User Inputs'!$E$12)^$B47)</f>
        <v>446495.21173255058</v>
      </c>
      <c r="AB48" s="14">
        <f>AB$5*((1+'User Inputs'!$E$9)^$B47)+AB$4*((1+'User Inputs'!$E$12)^$B47)</f>
        <v>488727.25910888222</v>
      </c>
      <c r="AC48" s="14">
        <f>AC$5*((1+'User Inputs'!$E$9)^$B47)+AC$4*((1+'User Inputs'!$E$12)^$B47)</f>
        <v>476009.08980358968</v>
      </c>
      <c r="AD48" s="14">
        <f>AD$5*((1+'User Inputs'!$E$9)^$B47)+AD$4*((1+'User Inputs'!$E$12)^$B47)</f>
        <v>555304.09364842833</v>
      </c>
    </row>
    <row r="49" spans="1:30" x14ac:dyDescent="0.25">
      <c r="A49" s="4" t="s">
        <v>42</v>
      </c>
      <c r="B49" s="33">
        <v>8</v>
      </c>
      <c r="C49" s="14">
        <f>C$5*((1+'User Inputs'!$E$9)^$B48)+C$4*((1+'User Inputs'!$E$12)^$B48)</f>
        <v>535849.47473486629</v>
      </c>
      <c r="D49" s="14">
        <f>D$5*((1+'User Inputs'!$E$9)^$B48)+D$4*((1+'User Inputs'!$E$12)^$B48)</f>
        <v>602771.67130653444</v>
      </c>
      <c r="E49" s="14">
        <f>E$5*((1+'User Inputs'!$E$9)^$B48)+E$4*((1+'User Inputs'!$E$12)^$B48)</f>
        <v>662705.57114079897</v>
      </c>
      <c r="F49" s="14">
        <f>F$5*((1+'User Inputs'!$E$9)^$B48)+F$4*((1+'User Inputs'!$E$12)^$B48)</f>
        <v>380678.14131521434</v>
      </c>
      <c r="G49" s="14">
        <f>G$5*((1+'User Inputs'!$E$9)^$B48)+G$4*((1+'User Inputs'!$E$12)^$B48)</f>
        <v>436137.01435538498</v>
      </c>
      <c r="H49" s="14">
        <f>H$5*((1+'User Inputs'!$E$9)^$B48)+H$4*((1+'User Inputs'!$E$12)^$B48)</f>
        <v>441463.00158450333</v>
      </c>
      <c r="I49" s="14">
        <f>I$5*((1+'User Inputs'!$E$9)^$B48)+I$4*((1+'User Inputs'!$E$12)^$B48)</f>
        <v>454707.18084212288</v>
      </c>
      <c r="J49" s="14">
        <f>J$5*((1+'User Inputs'!$E$9)^$B48)+J$4*((1+'User Inputs'!$E$12)^$B48)</f>
        <v>513113.23222996108</v>
      </c>
      <c r="K49" s="4" t="s">
        <v>42</v>
      </c>
      <c r="L49" s="33">
        <v>8</v>
      </c>
      <c r="M49" s="14">
        <f>M$5*((1+'User Inputs'!$E$9)^$B48)+M$4*((1+'User Inputs'!$E$12)^$B48)</f>
        <v>544258.70950687164</v>
      </c>
      <c r="N49" s="14">
        <f>N$5*((1+'User Inputs'!$E$9)^$B48)+N$4*((1+'User Inputs'!$E$12)^$B48)</f>
        <v>584030.27004432026</v>
      </c>
      <c r="O49" s="14">
        <f>O$5*((1+'User Inputs'!$E$9)^$B48)+O$4*((1+'User Inputs'!$E$12)^$B48)</f>
        <v>624470.10189901257</v>
      </c>
      <c r="P49" s="14">
        <f>P$5*((1+'User Inputs'!$E$9)^$B48)+P$4*((1+'User Inputs'!$E$12)^$B48)</f>
        <v>362284.57910155621</v>
      </c>
      <c r="Q49" s="14">
        <f>Q$5*((1+'User Inputs'!$E$9)^$B48)+Q$4*((1+'User Inputs'!$E$12)^$B48)</f>
        <v>392132.1976957274</v>
      </c>
      <c r="R49" s="14">
        <f>R$5*((1+'User Inputs'!$E$9)^$B48)+R$4*((1+'User Inputs'!$E$12)^$B48)</f>
        <v>356328.92003999936</v>
      </c>
      <c r="S49" s="14">
        <f>S$5*((1+'User Inputs'!$E$9)^$B48)+S$4*((1+'User Inputs'!$E$12)^$B48)</f>
        <v>392830.31230042304</v>
      </c>
      <c r="T49" s="14">
        <f>T$5*((1+'User Inputs'!$E$9)^$B48)+T$4*((1+'User Inputs'!$E$12)^$B48)</f>
        <v>424235.59104726493</v>
      </c>
      <c r="U49" s="4" t="s">
        <v>42</v>
      </c>
      <c r="V49" s="33">
        <v>8</v>
      </c>
      <c r="W49" s="14">
        <f>W$5*((1+'User Inputs'!$E$9)^$B48)+W$4*((1+'User Inputs'!$E$12)^$B48)</f>
        <v>527440.23996286094</v>
      </c>
      <c r="X49" s="14">
        <f>X$5*((1+'User Inputs'!$E$9)^$B48)+X$4*((1+'User Inputs'!$E$12)^$B48)</f>
        <v>621513.07256874861</v>
      </c>
      <c r="Y49" s="14">
        <f>Y$5*((1+'User Inputs'!$E$9)^$B48)+Y$4*((1+'User Inputs'!$E$12)^$B48)</f>
        <v>700941.04038258526</v>
      </c>
      <c r="Z49" s="14">
        <f>Z$5*((1+'User Inputs'!$E$9)^$B48)+Z$4*((1+'User Inputs'!$E$12)^$B48)</f>
        <v>399071.70352887246</v>
      </c>
      <c r="AA49" s="14">
        <f>AA$5*((1+'User Inputs'!$E$9)^$B48)+AA$4*((1+'User Inputs'!$E$12)^$B48)</f>
        <v>480141.83101504249</v>
      </c>
      <c r="AB49" s="14">
        <f>AB$5*((1+'User Inputs'!$E$9)^$B48)+AB$4*((1+'User Inputs'!$E$12)^$B48)</f>
        <v>526597.08312900737</v>
      </c>
      <c r="AC49" s="14">
        <f>AC$5*((1+'User Inputs'!$E$9)^$B48)+AC$4*((1+'User Inputs'!$E$12)^$B48)</f>
        <v>516584.04938382283</v>
      </c>
      <c r="AD49" s="14">
        <f>AD$5*((1+'User Inputs'!$E$9)^$B48)+AD$4*((1+'User Inputs'!$E$12)^$B48)</f>
        <v>601990.87341265718</v>
      </c>
    </row>
    <row r="50" spans="1:30" x14ac:dyDescent="0.25">
      <c r="A50" s="4" t="s">
        <v>42</v>
      </c>
      <c r="B50" s="33">
        <v>9</v>
      </c>
      <c r="C50" s="14">
        <f>C$5*((1+'User Inputs'!$E$9)^$B49)+C$4*((1+'User Inputs'!$E$12)^$B49)</f>
        <v>565961.10353147972</v>
      </c>
      <c r="D50" s="14">
        <f>D$5*((1+'User Inputs'!$E$9)^$B49)+D$4*((1+'User Inputs'!$E$12)^$B49)</f>
        <v>638033.80727107939</v>
      </c>
      <c r="E50" s="14">
        <f>E$5*((1+'User Inputs'!$E$9)^$B49)+E$4*((1+'User Inputs'!$E$12)^$B49)</f>
        <v>703961.09708877048</v>
      </c>
      <c r="F50" s="14">
        <f>F$5*((1+'User Inputs'!$E$9)^$B49)+F$4*((1+'User Inputs'!$E$12)^$B49)</f>
        <v>404953.88420920569</v>
      </c>
      <c r="G50" s="14">
        <f>G$5*((1+'User Inputs'!$E$9)^$B49)+G$4*((1+'User Inputs'!$E$12)^$B49)</f>
        <v>468527.7558623451</v>
      </c>
      <c r="H50" s="14">
        <f>H$5*((1+'User Inputs'!$E$9)^$B49)+H$4*((1+'User Inputs'!$E$12)^$B49)</f>
        <v>474386.34181437525</v>
      </c>
      <c r="I50" s="14">
        <f>I$5*((1+'User Inputs'!$E$9)^$B49)+I$4*((1+'User Inputs'!$E$12)^$B49)</f>
        <v>493011.43053820677</v>
      </c>
      <c r="J50" s="14">
        <f>J$5*((1+'User Inputs'!$E$9)^$B49)+J$4*((1+'User Inputs'!$E$12)^$B49)</f>
        <v>555404.05326033081</v>
      </c>
      <c r="K50" s="4" t="s">
        <v>42</v>
      </c>
      <c r="L50" s="33">
        <v>9</v>
      </c>
      <c r="M50" s="14">
        <f>M$5*((1+'User Inputs'!$E$9)^$B49)+M$4*((1+'User Inputs'!$E$12)^$B49)</f>
        <v>575211.26178068563</v>
      </c>
      <c r="N50" s="14">
        <f>N$5*((1+'User Inputs'!$E$9)^$B49)+N$4*((1+'User Inputs'!$E$12)^$B49)</f>
        <v>617418.26588264387</v>
      </c>
      <c r="O50" s="14">
        <f>O$5*((1+'User Inputs'!$E$9)^$B49)+O$4*((1+'User Inputs'!$E$12)^$B49)</f>
        <v>661902.08092280547</v>
      </c>
      <c r="P50" s="14">
        <f>P$5*((1+'User Inputs'!$E$9)^$B49)+P$4*((1+'User Inputs'!$E$12)^$B49)</f>
        <v>384720.96577418176</v>
      </c>
      <c r="Q50" s="14">
        <f>Q$5*((1+'User Inputs'!$E$9)^$B49)+Q$4*((1+'User Inputs'!$E$12)^$B49)</f>
        <v>420122.45753672172</v>
      </c>
      <c r="R50" s="14">
        <f>R$5*((1+'User Inputs'!$E$9)^$B49)+R$4*((1+'User Inputs'!$E$12)^$B49)</f>
        <v>380738.85211542092</v>
      </c>
      <c r="S50" s="14">
        <f>S$5*((1+'User Inputs'!$E$9)^$B49)+S$4*((1+'User Inputs'!$E$12)^$B49)</f>
        <v>424946.87514233694</v>
      </c>
      <c r="T50" s="14">
        <f>T$5*((1+'User Inputs'!$E$9)^$B49)+T$4*((1+'User Inputs'!$E$12)^$B49)</f>
        <v>457638.6479593651</v>
      </c>
      <c r="U50" s="4" t="s">
        <v>42</v>
      </c>
      <c r="V50" s="33">
        <v>9</v>
      </c>
      <c r="W50" s="14">
        <f>W$5*((1+'User Inputs'!$E$9)^$B49)+W$4*((1+'User Inputs'!$E$12)^$B49)</f>
        <v>556710.94528227381</v>
      </c>
      <c r="X50" s="14">
        <f>X$5*((1+'User Inputs'!$E$9)^$B49)+X$4*((1+'User Inputs'!$E$12)^$B49)</f>
        <v>658649.34865951492</v>
      </c>
      <c r="Y50" s="14">
        <f>Y$5*((1+'User Inputs'!$E$9)^$B49)+Y$4*((1+'User Inputs'!$E$12)^$B49)</f>
        <v>746020.11325473536</v>
      </c>
      <c r="Z50" s="14">
        <f>Z$5*((1+'User Inputs'!$E$9)^$B49)+Z$4*((1+'User Inputs'!$E$12)^$B49)</f>
        <v>425186.80264422961</v>
      </c>
      <c r="AA50" s="14">
        <f>AA$5*((1+'User Inputs'!$E$9)^$B49)+AA$4*((1+'User Inputs'!$E$12)^$B49)</f>
        <v>516933.05418796837</v>
      </c>
      <c r="AB50" s="14">
        <f>AB$5*((1+'User Inputs'!$E$9)^$B49)+AB$4*((1+'User Inputs'!$E$12)^$B49)</f>
        <v>568033.83151332964</v>
      </c>
      <c r="AC50" s="14">
        <f>AC$5*((1+'User Inputs'!$E$9)^$B49)+AC$4*((1+'User Inputs'!$E$12)^$B49)</f>
        <v>561075.98593407671</v>
      </c>
      <c r="AD50" s="14">
        <f>AD$5*((1+'User Inputs'!$E$9)^$B49)+AD$4*((1+'User Inputs'!$E$12)^$B49)</f>
        <v>653169.45856129646</v>
      </c>
    </row>
    <row r="51" spans="1:30" x14ac:dyDescent="0.25">
      <c r="A51" s="4" t="s">
        <v>42</v>
      </c>
      <c r="B51" s="33">
        <v>10</v>
      </c>
      <c r="C51" s="14">
        <f>C$5*((1+'User Inputs'!$E$9)^$B50)+C$4*((1+'User Inputs'!$E$12)^$B50)</f>
        <v>598614.42883421713</v>
      </c>
      <c r="D51" s="14">
        <f>D$5*((1+'User Inputs'!$E$9)^$B50)+D$4*((1+'User Inputs'!$E$12)^$B50)</f>
        <v>676321.8562087568</v>
      </c>
      <c r="E51" s="14">
        <f>E$5*((1+'User Inputs'!$E$9)^$B50)+E$4*((1+'User Inputs'!$E$12)^$B50)</f>
        <v>748841.87500821683</v>
      </c>
      <c r="F51" s="14">
        <f>F$5*((1+'User Inputs'!$E$9)^$B50)+F$4*((1+'User Inputs'!$E$12)^$B50)</f>
        <v>431381.35996784561</v>
      </c>
      <c r="G51" s="14">
        <f>G$5*((1+'User Inputs'!$E$9)^$B50)+G$4*((1+'User Inputs'!$E$12)^$B50)</f>
        <v>503933.11232142965</v>
      </c>
      <c r="H51" s="14">
        <f>H$5*((1+'User Inputs'!$E$9)^$B50)+H$4*((1+'User Inputs'!$E$12)^$B50)</f>
        <v>510377.55686866294</v>
      </c>
      <c r="I51" s="14">
        <f>I$5*((1+'User Inputs'!$E$9)^$B50)+I$4*((1+'User Inputs'!$E$12)^$B50)</f>
        <v>535002.77583613654</v>
      </c>
      <c r="J51" s="14">
        <f>J$5*((1+'User Inputs'!$E$9)^$B50)+J$4*((1+'User Inputs'!$E$12)^$B50)</f>
        <v>601743.54634988506</v>
      </c>
      <c r="K51" s="4" t="s">
        <v>42</v>
      </c>
      <c r="L51" s="33">
        <v>10</v>
      </c>
      <c r="M51" s="14">
        <f>M$5*((1+'User Inputs'!$E$9)^$B50)+M$4*((1+'User Inputs'!$E$12)^$B50)</f>
        <v>608789.60290834366</v>
      </c>
      <c r="N51" s="14">
        <f>N$5*((1+'User Inputs'!$E$9)^$B50)+N$4*((1+'User Inputs'!$E$12)^$B50)</f>
        <v>653644.76068147761</v>
      </c>
      <c r="O51" s="14">
        <f>O$5*((1+'User Inputs'!$E$9)^$B50)+O$4*((1+'User Inputs'!$E$12)^$B50)</f>
        <v>702576.95722565544</v>
      </c>
      <c r="P51" s="14">
        <f>P$5*((1+'User Inputs'!$E$9)^$B50)+P$4*((1+'User Inputs'!$E$12)^$B50)</f>
        <v>409125.14968931925</v>
      </c>
      <c r="Q51" s="14">
        <f>Q$5*((1+'User Inputs'!$E$9)^$B50)+Q$4*((1+'User Inputs'!$E$12)^$B50)</f>
        <v>450687.28416324395</v>
      </c>
      <c r="R51" s="14">
        <f>R$5*((1+'User Inputs'!$E$9)^$B50)+R$4*((1+'User Inputs'!$E$12)^$B50)</f>
        <v>407365.31819981307</v>
      </c>
      <c r="S51" s="14">
        <f>S$5*((1+'User Inputs'!$E$9)^$B50)+S$4*((1+'User Inputs'!$E$12)^$B50)</f>
        <v>460131.7649006797</v>
      </c>
      <c r="T51" s="14">
        <f>T$5*((1+'User Inputs'!$E$9)^$B50)+T$4*((1+'User Inputs'!$E$12)^$B50)</f>
        <v>494201.60051882273</v>
      </c>
      <c r="U51" s="4" t="s">
        <v>42</v>
      </c>
      <c r="V51" s="33">
        <v>10</v>
      </c>
      <c r="W51" s="14">
        <f>W$5*((1+'User Inputs'!$E$9)^$B50)+W$4*((1+'User Inputs'!$E$12)^$B50)</f>
        <v>588439.25476009061</v>
      </c>
      <c r="X51" s="14">
        <f>X$5*((1+'User Inputs'!$E$9)^$B50)+X$4*((1+'User Inputs'!$E$12)^$B50)</f>
        <v>698998.95173603599</v>
      </c>
      <c r="Y51" s="14">
        <f>Y$5*((1+'User Inputs'!$E$9)^$B50)+Y$4*((1+'User Inputs'!$E$12)^$B50)</f>
        <v>795106.79279077833</v>
      </c>
      <c r="Z51" s="14">
        <f>Z$5*((1+'User Inputs'!$E$9)^$B50)+Z$4*((1+'User Inputs'!$E$12)^$B50)</f>
        <v>453637.57024637202</v>
      </c>
      <c r="AA51" s="14">
        <f>AA$5*((1+'User Inputs'!$E$9)^$B50)+AA$4*((1+'User Inputs'!$E$12)^$B50)</f>
        <v>557178.94047961535</v>
      </c>
      <c r="AB51" s="14">
        <f>AB$5*((1+'User Inputs'!$E$9)^$B50)+AB$4*((1+'User Inputs'!$E$12)^$B50)</f>
        <v>613389.79553751275</v>
      </c>
      <c r="AC51" s="14">
        <f>AC$5*((1+'User Inputs'!$E$9)^$B50)+AC$4*((1+'User Inputs'!$E$12)^$B50)</f>
        <v>609873.7867715935</v>
      </c>
      <c r="AD51" s="14">
        <f>AD$5*((1+'User Inputs'!$E$9)^$B50)+AD$4*((1+'User Inputs'!$E$12)^$B50)</f>
        <v>709285.49218094733</v>
      </c>
    </row>
    <row r="52" spans="1:30" x14ac:dyDescent="0.25">
      <c r="A52" s="4" t="s">
        <v>42</v>
      </c>
      <c r="B52" s="33">
        <v>11</v>
      </c>
      <c r="C52" s="14">
        <f>C$5*((1+'User Inputs'!$E$9)^$B51)+C$4*((1+'User Inputs'!$E$12)^$B51)</f>
        <v>634054.23096622014</v>
      </c>
      <c r="D52" s="14">
        <f>D$5*((1+'User Inputs'!$E$9)^$B51)+D$4*((1+'User Inputs'!$E$12)^$B51)</f>
        <v>717928.40340441326</v>
      </c>
      <c r="E52" s="14">
        <f>E$5*((1+'User Inputs'!$E$9)^$B51)+E$4*((1+'User Inputs'!$E$12)^$B51)</f>
        <v>797700.42408381938</v>
      </c>
      <c r="F52" s="14">
        <f>F$5*((1+'User Inputs'!$E$9)^$B51)+F$4*((1+'User Inputs'!$E$12)^$B51)</f>
        <v>460170.22504910396</v>
      </c>
      <c r="G52" s="14">
        <f>G$5*((1+'User Inputs'!$E$9)^$B51)+G$4*((1+'User Inputs'!$E$12)^$B51)</f>
        <v>542650.05604387971</v>
      </c>
      <c r="H52" s="14">
        <f>H$5*((1+'User Inputs'!$E$9)^$B51)+H$4*((1+'User Inputs'!$E$12)^$B51)</f>
        <v>549738.94504583627</v>
      </c>
      <c r="I52" s="14">
        <f>I$5*((1+'User Inputs'!$E$9)^$B51)+I$4*((1+'User Inputs'!$E$12)^$B51)</f>
        <v>581047.05970874149</v>
      </c>
      <c r="J52" s="14">
        <f>J$5*((1+'User Inputs'!$E$9)^$B51)+J$4*((1+'User Inputs'!$E$12)^$B51)</f>
        <v>652532.97050366516</v>
      </c>
      <c r="K52" s="4" t="s">
        <v>42</v>
      </c>
      <c r="L52" s="33">
        <v>11</v>
      </c>
      <c r="M52" s="14">
        <f>M$5*((1+'User Inputs'!$E$9)^$B51)+M$4*((1+'User Inputs'!$E$12)^$B51)</f>
        <v>645246.92244775919</v>
      </c>
      <c r="N52" s="14">
        <f>N$5*((1+'User Inputs'!$E$9)^$B51)+N$4*((1+'User Inputs'!$E$12)^$B51)</f>
        <v>692983.59832440619</v>
      </c>
      <c r="O52" s="14">
        <f>O$5*((1+'User Inputs'!$E$9)^$B51)+O$4*((1+'User Inputs'!$E$12)^$B51)</f>
        <v>746809.01452300162</v>
      </c>
      <c r="P52" s="14">
        <f>P$5*((1+'User Inputs'!$E$9)^$B51)+P$4*((1+'User Inputs'!$E$12)^$B51)</f>
        <v>435688.3937427249</v>
      </c>
      <c r="Q52" s="14">
        <f>Q$5*((1+'User Inputs'!$E$9)^$B51)+Q$4*((1+'User Inputs'!$E$12)^$B51)</f>
        <v>484079.64506987552</v>
      </c>
      <c r="R52" s="14">
        <f>R$5*((1+'User Inputs'!$E$9)^$B51)+R$4*((1+'User Inputs'!$E$12)^$B51)</f>
        <v>436425.4825101014</v>
      </c>
      <c r="S52" s="14">
        <f>S$5*((1+'User Inputs'!$E$9)^$B51)+S$4*((1+'User Inputs'!$E$12)^$B51)</f>
        <v>498688.94767973898</v>
      </c>
      <c r="T52" s="14">
        <f>T$5*((1+'User Inputs'!$E$9)^$B51)+T$4*((1+'User Inputs'!$E$12)^$B51)</f>
        <v>534236.83008949657</v>
      </c>
      <c r="U52" s="4" t="s">
        <v>42</v>
      </c>
      <c r="V52" s="33">
        <v>11</v>
      </c>
      <c r="W52" s="14">
        <f>W$5*((1+'User Inputs'!$E$9)^$B51)+W$4*((1+'User Inputs'!$E$12)^$B51)</f>
        <v>622861.53948468086</v>
      </c>
      <c r="X52" s="14">
        <f>X$5*((1+'User Inputs'!$E$9)^$B51)+X$4*((1+'User Inputs'!$E$12)^$B51)</f>
        <v>742873.20848442032</v>
      </c>
      <c r="Y52" s="14">
        <f>Y$5*((1+'User Inputs'!$E$9)^$B51)+Y$4*((1+'User Inputs'!$E$12)^$B51)</f>
        <v>848591.83364463691</v>
      </c>
      <c r="Z52" s="14">
        <f>Z$5*((1+'User Inputs'!$E$9)^$B51)+Z$4*((1+'User Inputs'!$E$12)^$B51)</f>
        <v>484652.05635548296</v>
      </c>
      <c r="AA52" s="14">
        <f>AA$5*((1+'User Inputs'!$E$9)^$B51)+AA$4*((1+'User Inputs'!$E$12)^$B51)</f>
        <v>601220.4670178839</v>
      </c>
      <c r="AB52" s="14">
        <f>AB$5*((1+'User Inputs'!$E$9)^$B51)+AB$4*((1+'User Inputs'!$E$12)^$B51)</f>
        <v>663052.40758157102</v>
      </c>
      <c r="AC52" s="14">
        <f>AC$5*((1+'User Inputs'!$E$9)^$B51)+AC$4*((1+'User Inputs'!$E$12)^$B51)</f>
        <v>663405.17173774412</v>
      </c>
      <c r="AD52" s="14">
        <f>AD$5*((1+'User Inputs'!$E$9)^$B51)+AD$4*((1+'User Inputs'!$E$12)^$B51)</f>
        <v>770829.11091783375</v>
      </c>
    </row>
    <row r="53" spans="1:30" x14ac:dyDescent="0.25">
      <c r="A53" s="4" t="s">
        <v>42</v>
      </c>
      <c r="B53" s="33">
        <v>12</v>
      </c>
      <c r="C53" s="14">
        <f>C$5*((1+'User Inputs'!$E$9)^$B52)+C$4*((1+'User Inputs'!$E$12)^$B52)</f>
        <v>672549.58049639489</v>
      </c>
      <c r="D53" s="14">
        <f>D$5*((1+'User Inputs'!$E$9)^$B52)+D$4*((1+'User Inputs'!$E$12)^$B52)</f>
        <v>763175.09255113092</v>
      </c>
      <c r="E53" s="14">
        <f>E$5*((1+'User Inputs'!$E$9)^$B52)+E$4*((1+'User Inputs'!$E$12)^$B52)</f>
        <v>850924.31529847765</v>
      </c>
      <c r="F53" s="14">
        <f>F$5*((1+'User Inputs'!$E$9)^$B52)+F$4*((1+'User Inputs'!$E$12)^$B52)</f>
        <v>491550.9912201775</v>
      </c>
      <c r="G53" s="14">
        <f>G$5*((1+'User Inputs'!$E$9)^$B52)+G$4*((1+'User Inputs'!$E$12)^$B52)</f>
        <v>585005.16678838094</v>
      </c>
      <c r="H53" s="14">
        <f>H$5*((1+'User Inputs'!$E$9)^$B52)+H$4*((1+'User Inputs'!$E$12)^$B52)</f>
        <v>592802.9446905331</v>
      </c>
      <c r="I53" s="14">
        <f>I$5*((1+'User Inputs'!$E$9)^$B52)+I$4*((1+'User Inputs'!$E$12)^$B52)</f>
        <v>631546.65209438687</v>
      </c>
      <c r="J53" s="14">
        <f>J$5*((1+'User Inputs'!$E$9)^$B52)+J$4*((1+'User Inputs'!$E$12)^$B52)</f>
        <v>708213.63846319914</v>
      </c>
      <c r="K53" s="4" t="s">
        <v>42</v>
      </c>
      <c r="L53" s="33">
        <v>12</v>
      </c>
      <c r="M53" s="14">
        <f>M$5*((1+'User Inputs'!$E$9)^$B52)+M$4*((1+'User Inputs'!$E$12)^$B52)</f>
        <v>684861.54112608801</v>
      </c>
      <c r="N53" s="14">
        <f>N$5*((1+'User Inputs'!$E$9)^$B52)+N$4*((1+'User Inputs'!$E$12)^$B52)</f>
        <v>735735.80696312315</v>
      </c>
      <c r="O53" s="14">
        <f>O$5*((1+'User Inputs'!$E$9)^$B52)+O$4*((1+'User Inputs'!$E$12)^$B52)</f>
        <v>794943.76478157821</v>
      </c>
      <c r="P53" s="14">
        <f>P$5*((1+'User Inputs'!$E$9)^$B52)+P$4*((1+'User Inputs'!$E$12)^$B52)</f>
        <v>464620.97678316059</v>
      </c>
      <c r="Q53" s="14">
        <f>Q$5*((1+'User Inputs'!$E$9)^$B52)+Q$4*((1+'User Inputs'!$E$12)^$B52)</f>
        <v>520577.71471697628</v>
      </c>
      <c r="R53" s="14">
        <f>R$5*((1+'User Inputs'!$E$9)^$B52)+R$4*((1+'User Inputs'!$E$12)^$B52)</f>
        <v>468158.1359012248</v>
      </c>
      <c r="S53" s="14">
        <f>S$5*((1+'User Inputs'!$E$9)^$B52)+S$4*((1+'User Inputs'!$E$12)^$B52)</f>
        <v>540952.72886248399</v>
      </c>
      <c r="T53" s="14">
        <f>T$5*((1+'User Inputs'!$E$9)^$B52)+T$4*((1+'User Inputs'!$E$12)^$B52)</f>
        <v>578087.88400761364</v>
      </c>
      <c r="U53" s="4" t="s">
        <v>42</v>
      </c>
      <c r="V53" s="33">
        <v>12</v>
      </c>
      <c r="W53" s="14">
        <f>W$5*((1+'User Inputs'!$E$9)^$B52)+W$4*((1+'User Inputs'!$E$12)^$B52)</f>
        <v>660237.61986670177</v>
      </c>
      <c r="X53" s="14">
        <f>X$5*((1+'User Inputs'!$E$9)^$B52)+X$4*((1+'User Inputs'!$E$12)^$B52)</f>
        <v>790614.37813913869</v>
      </c>
      <c r="Y53" s="14">
        <f>Y$5*((1+'User Inputs'!$E$9)^$B52)+Y$4*((1+'User Inputs'!$E$12)^$B52)</f>
        <v>906904.8658153771</v>
      </c>
      <c r="Z53" s="14">
        <f>Z$5*((1+'User Inputs'!$E$9)^$B52)+Z$4*((1+'User Inputs'!$E$12)^$B52)</f>
        <v>518481.00565719442</v>
      </c>
      <c r="AA53" s="14">
        <f>AA$5*((1+'User Inputs'!$E$9)^$B52)+AA$4*((1+'User Inputs'!$E$12)^$B52)</f>
        <v>649432.61885978561</v>
      </c>
      <c r="AB53" s="14">
        <f>AB$5*((1+'User Inputs'!$E$9)^$B52)+AB$4*((1+'User Inputs'!$E$12)^$B52)</f>
        <v>717447.7534798414</v>
      </c>
      <c r="AC53" s="14">
        <f>AC$5*((1+'User Inputs'!$E$9)^$B52)+AC$4*((1+'User Inputs'!$E$12)^$B52)</f>
        <v>722140.57532628975</v>
      </c>
      <c r="AD53" s="14">
        <f>AD$5*((1+'User Inputs'!$E$9)^$B52)+AD$4*((1+'User Inputs'!$E$12)^$B52)</f>
        <v>838339.39291878452</v>
      </c>
    </row>
    <row r="54" spans="1:30" x14ac:dyDescent="0.25">
      <c r="A54" s="4" t="s">
        <v>42</v>
      </c>
      <c r="B54" s="33">
        <v>13</v>
      </c>
      <c r="C54" s="14">
        <f>C$5*((1+'User Inputs'!$E$9)^$B53)+C$4*((1+'User Inputs'!$E$12)^$B53)</f>
        <v>714396.26350825839</v>
      </c>
      <c r="D54" s="14">
        <f>D$5*((1+'User Inputs'!$E$9)^$B53)+D$4*((1+'User Inputs'!$E$12)^$B53)</f>
        <v>812415.52758864593</v>
      </c>
      <c r="E54" s="14">
        <f>E$5*((1+'User Inputs'!$E$9)^$B53)+E$4*((1+'User Inputs'!$E$12)^$B53)</f>
        <v>908939.67261072737</v>
      </c>
      <c r="F54" s="14">
        <f>F$5*((1+'User Inputs'!$E$9)^$B53)+F$4*((1+'User Inputs'!$E$12)^$B53)</f>
        <v>525777.10888168169</v>
      </c>
      <c r="G54" s="14">
        <f>G$5*((1+'User Inputs'!$E$9)^$B53)+G$4*((1+'User Inputs'!$E$12)^$B53)</f>
        <v>631357.59071013448</v>
      </c>
      <c r="H54" s="14">
        <f>H$5*((1+'User Inputs'!$E$9)^$B53)+H$4*((1+'User Inputs'!$E$12)^$B53)</f>
        <v>639935.14640250185</v>
      </c>
      <c r="I54" s="14">
        <f>I$5*((1+'User Inputs'!$E$9)^$B53)+I$4*((1+'User Inputs'!$E$12)^$B53)</f>
        <v>686944.10144689202</v>
      </c>
      <c r="J54" s="14">
        <f>J$5*((1+'User Inputs'!$E$9)^$B53)+J$4*((1+'User Inputs'!$E$12)^$B53)</f>
        <v>769270.92063686973</v>
      </c>
      <c r="K54" s="4" t="s">
        <v>42</v>
      </c>
      <c r="L54" s="33">
        <v>13</v>
      </c>
      <c r="M54" s="14">
        <f>M$5*((1+'User Inputs'!$E$9)^$B53)+M$4*((1+'User Inputs'!$E$12)^$B53)</f>
        <v>727939.42020092066</v>
      </c>
      <c r="N54" s="14">
        <f>N$5*((1+'User Inputs'!$E$9)^$B53)+N$4*((1+'User Inputs'!$E$12)^$B53)</f>
        <v>782232.31344183744</v>
      </c>
      <c r="O54" s="14">
        <f>O$5*((1+'User Inputs'!$E$9)^$B53)+O$4*((1+'User Inputs'!$E$12)^$B53)</f>
        <v>847361.06704213796</v>
      </c>
      <c r="P54" s="14">
        <f>P$5*((1+'User Inputs'!$E$9)^$B53)+P$4*((1+'User Inputs'!$E$12)^$B53)</f>
        <v>496154.09300096316</v>
      </c>
      <c r="Q54" s="14">
        <f>Q$5*((1+'User Inputs'!$E$9)^$B53)+Q$4*((1+'User Inputs'!$E$12)^$B53)</f>
        <v>560487.39343158936</v>
      </c>
      <c r="R54" s="14">
        <f>R$5*((1+'User Inputs'!$E$9)^$B53)+R$4*((1+'User Inputs'!$E$12)^$B53)</f>
        <v>502825.85673426278</v>
      </c>
      <c r="S54" s="14">
        <f>S$5*((1+'User Inputs'!$E$9)^$B53)+S$4*((1+'User Inputs'!$E$12)^$B53)</f>
        <v>587290.78589179891</v>
      </c>
      <c r="T54" s="14">
        <f>T$5*((1+'User Inputs'!$E$9)^$B53)+T$4*((1+'User Inputs'!$E$12)^$B53)</f>
        <v>626132.59073572571</v>
      </c>
      <c r="U54" s="4" t="s">
        <v>42</v>
      </c>
      <c r="V54" s="33">
        <v>13</v>
      </c>
      <c r="W54" s="14">
        <f>W$5*((1+'User Inputs'!$E$9)^$B53)+W$4*((1+'User Inputs'!$E$12)^$B53)</f>
        <v>700853.10681559588</v>
      </c>
      <c r="X54" s="14">
        <f>X$5*((1+'User Inputs'!$E$9)^$B53)+X$4*((1+'User Inputs'!$E$12)^$B53)</f>
        <v>842598.74173545453</v>
      </c>
      <c r="Y54" s="14">
        <f>Y$5*((1+'User Inputs'!$E$9)^$B53)+Y$4*((1+'User Inputs'!$E$12)^$B53)</f>
        <v>970518.27817931678</v>
      </c>
      <c r="Z54" s="14">
        <f>Z$5*((1+'User Inputs'!$E$9)^$B53)+Z$4*((1+'User Inputs'!$E$12)^$B53)</f>
        <v>555400.12476240029</v>
      </c>
      <c r="AA54" s="14">
        <f>AA$5*((1+'User Inputs'!$E$9)^$B53)+AA$4*((1+'User Inputs'!$E$12)^$B53)</f>
        <v>702227.7879886796</v>
      </c>
      <c r="AB54" s="14">
        <f>AB$5*((1+'User Inputs'!$E$9)^$B53)+AB$4*((1+'User Inputs'!$E$12)^$B53)</f>
        <v>777044.43607074104</v>
      </c>
      <c r="AC54" s="14">
        <f>AC$5*((1+'User Inputs'!$E$9)^$B53)+AC$4*((1+'User Inputs'!$E$12)^$B53)</f>
        <v>786597.41700198513</v>
      </c>
      <c r="AD54" s="14">
        <f>AD$5*((1+'User Inputs'!$E$9)^$B53)+AD$4*((1+'User Inputs'!$E$12)^$B53)</f>
        <v>912409.25053801364</v>
      </c>
    </row>
    <row r="55" spans="1:30" x14ac:dyDescent="0.25">
      <c r="A55" s="4" t="s">
        <v>42</v>
      </c>
      <c r="B55" s="33">
        <v>14</v>
      </c>
      <c r="C55" s="14">
        <f>C$5*((1+'User Inputs'!$E$9)^$B54)+C$4*((1+'User Inputs'!$E$12)^$B54)</f>
        <v>759919.4493205524</v>
      </c>
      <c r="D55" s="14">
        <f>D$5*((1+'User Inputs'!$E$9)^$B54)+D$4*((1+'User Inputs'!$E$12)^$B54)</f>
        <v>866038.46464556048</v>
      </c>
      <c r="E55" s="14">
        <f>E$5*((1+'User Inputs'!$E$9)^$B54)+E$4*((1+'User Inputs'!$E$12)^$B54)</f>
        <v>972215.02416985016</v>
      </c>
      <c r="F55" s="14">
        <f>F$5*((1+'User Inputs'!$E$9)^$B54)+F$4*((1+'User Inputs'!$E$12)^$B54)</f>
        <v>563127.25868012605</v>
      </c>
      <c r="G55" s="14">
        <f>G$5*((1+'User Inputs'!$E$9)^$B54)+G$4*((1+'User Inputs'!$E$12)^$B54)</f>
        <v>682102.29516892158</v>
      </c>
      <c r="H55" s="14">
        <f>H$5*((1+'User Inputs'!$E$9)^$B54)+H$4*((1+'User Inputs'!$E$12)^$B54)</f>
        <v>691537.60643052589</v>
      </c>
      <c r="I55" s="14">
        <f>I$5*((1+'User Inputs'!$E$9)^$B54)+I$4*((1+'User Inputs'!$E$12)^$B54)</f>
        <v>747726.15141750895</v>
      </c>
      <c r="J55" s="14">
        <f>J$5*((1+'User Inputs'!$E$9)^$B54)+J$4*((1+'User Inputs'!$E$12)^$B54)</f>
        <v>836238.64939445455</v>
      </c>
      <c r="K55" s="4" t="s">
        <v>42</v>
      </c>
      <c r="L55" s="33">
        <v>14</v>
      </c>
      <c r="M55" s="14">
        <f>M$5*((1+'User Inputs'!$E$9)^$B54)+M$4*((1+'User Inputs'!$E$12)^$B54)</f>
        <v>774816.92168248107</v>
      </c>
      <c r="N55" s="14">
        <f>N$5*((1+'User Inputs'!$E$9)^$B54)+N$4*((1+'User Inputs'!$E$12)^$B54)</f>
        <v>832836.92908407107</v>
      </c>
      <c r="O55" s="14">
        <f>O$5*((1+'User Inputs'!$E$9)^$B54)+O$4*((1+'User Inputs'!$E$12)^$B54)</f>
        <v>904478.5580444017</v>
      </c>
      <c r="P55" s="14">
        <f>P$5*((1+'User Inputs'!$E$9)^$B54)+P$4*((1+'User Inputs'!$E$12)^$B54)</f>
        <v>530541.94121133559</v>
      </c>
      <c r="Q55" s="14">
        <f>Q$5*((1+'User Inputs'!$E$9)^$B54)+Q$4*((1+'User Inputs'!$E$12)^$B54)</f>
        <v>604145.07816252206</v>
      </c>
      <c r="R55" s="14">
        <f>R$5*((1+'User Inputs'!$E$9)^$B54)+R$4*((1+'User Inputs'!$E$12)^$B54)</f>
        <v>540717.38779546274</v>
      </c>
      <c r="S55" s="14">
        <f>S$5*((1+'User Inputs'!$E$9)^$B54)+S$4*((1+'User Inputs'!$E$12)^$B54)</f>
        <v>638107.5043069066</v>
      </c>
      <c r="T55" s="14">
        <f>T$5*((1+'User Inputs'!$E$9)^$B54)+T$4*((1+'User Inputs'!$E$12)^$B54)</f>
        <v>678786.48650319607</v>
      </c>
      <c r="U55" s="4" t="s">
        <v>42</v>
      </c>
      <c r="V55" s="33">
        <v>14</v>
      </c>
      <c r="W55" s="14">
        <f>W$5*((1+'User Inputs'!$E$9)^$B54)+W$4*((1+'User Inputs'!$E$12)^$B54)</f>
        <v>745021.97695862385</v>
      </c>
      <c r="X55" s="14">
        <f>X$5*((1+'User Inputs'!$E$9)^$B54)+X$4*((1+'User Inputs'!$E$12)^$B54)</f>
        <v>899240.00020705</v>
      </c>
      <c r="Y55" s="14">
        <f>Y$5*((1+'User Inputs'!$E$9)^$B54)+Y$4*((1+'User Inputs'!$E$12)^$B54)</f>
        <v>1039951.4902952984</v>
      </c>
      <c r="Z55" s="14">
        <f>Z$5*((1+'User Inputs'!$E$9)^$B54)+Z$4*((1+'User Inputs'!$E$12)^$B54)</f>
        <v>595712.5761489165</v>
      </c>
      <c r="AA55" s="14">
        <f>AA$5*((1+'User Inputs'!$E$9)^$B54)+AA$4*((1+'User Inputs'!$E$12)^$B54)</f>
        <v>760059.51217532135</v>
      </c>
      <c r="AB55" s="14">
        <f>AB$5*((1+'User Inputs'!$E$9)^$B54)+AB$4*((1+'User Inputs'!$E$12)^$B54)</f>
        <v>842357.82506558881</v>
      </c>
      <c r="AC55" s="14">
        <f>AC$5*((1+'User Inputs'!$E$9)^$B54)+AC$4*((1+'User Inputs'!$E$12)^$B54)</f>
        <v>857344.79852811142</v>
      </c>
      <c r="AD55" s="14">
        <f>AD$5*((1+'User Inputs'!$E$9)^$B54)+AD$4*((1+'User Inputs'!$E$12)^$B54)</f>
        <v>993690.8122857128</v>
      </c>
    </row>
    <row r="56" spans="1:30" x14ac:dyDescent="0.25">
      <c r="A56" s="4" t="s">
        <v>42</v>
      </c>
      <c r="B56" s="33">
        <v>15</v>
      </c>
      <c r="C56" s="14">
        <f>C$5*((1+'User Inputs'!$E$9)^$B55)+C$4*((1+'User Inputs'!$E$12)^$B55)</f>
        <v>809476.62490330567</v>
      </c>
      <c r="D56" s="14">
        <f>D$5*((1+'User Inputs'!$E$9)^$B55)+D$4*((1+'User Inputs'!$E$12)^$B55)</f>
        <v>924471.32309412758</v>
      </c>
      <c r="E56" s="14">
        <f>E$5*((1+'User Inputs'!$E$9)^$B55)+E$4*((1+'User Inputs'!$E$12)^$B55)</f>
        <v>1041265.5385708462</v>
      </c>
      <c r="F56" s="14">
        <f>F$5*((1+'User Inputs'!$E$9)^$B55)+F$4*((1+'User Inputs'!$E$12)^$B55)</f>
        <v>603907.87223662052</v>
      </c>
      <c r="G56" s="14">
        <f>G$5*((1+'User Inputs'!$E$9)^$B55)+G$4*((1+'User Inputs'!$E$12)^$B55)</f>
        <v>737673.64898134314</v>
      </c>
      <c r="H56" s="14">
        <f>H$5*((1+'User Inputs'!$E$9)^$B55)+H$4*((1+'User Inputs'!$E$12)^$B55)</f>
        <v>748052.49136910774</v>
      </c>
      <c r="I56" s="14">
        <f>I$5*((1+'User Inputs'!$E$9)^$B55)+I$4*((1+'User Inputs'!$E$12)^$B55)</f>
        <v>814428.15918170637</v>
      </c>
      <c r="J56" s="14">
        <f>J$5*((1+'User Inputs'!$E$9)^$B55)+J$4*((1+'User Inputs'!$E$12)^$B55)</f>
        <v>909703.96376167587</v>
      </c>
      <c r="K56" s="4" t="s">
        <v>42</v>
      </c>
      <c r="L56" s="33">
        <v>15</v>
      </c>
      <c r="M56" s="14">
        <f>M$5*((1+'User Inputs'!$E$9)^$B55)+M$4*((1+'User Inputs'!$E$12)^$B55)</f>
        <v>825863.84450142714</v>
      </c>
      <c r="N56" s="14">
        <f>N$5*((1+'User Inputs'!$E$9)^$B55)+N$4*((1+'User Inputs'!$E$12)^$B55)</f>
        <v>887949.63397648931</v>
      </c>
      <c r="O56" s="14">
        <f>O$5*((1+'User Inputs'!$E$9)^$B55)+O$4*((1+'User Inputs'!$E$12)^$B55)</f>
        <v>966755.42583285295</v>
      </c>
      <c r="P56" s="14">
        <f>P$5*((1+'User Inputs'!$E$9)^$B55)+P$4*((1+'User Inputs'!$E$12)^$B55)</f>
        <v>568064.02302095108</v>
      </c>
      <c r="Q56" s="14">
        <f>Q$5*((1+'User Inputs'!$E$9)^$B55)+Q$4*((1+'User Inputs'!$E$12)^$B55)</f>
        <v>651920.71027430356</v>
      </c>
      <c r="R56" s="14">
        <f>R$5*((1+'User Inputs'!$E$9)^$B55)+R$4*((1+'User Inputs'!$E$12)^$B55)</f>
        <v>582150.25087053841</v>
      </c>
      <c r="S56" s="14">
        <f>S$5*((1+'User Inputs'!$E$9)^$B55)+S$4*((1+'User Inputs'!$E$12)^$B55)</f>
        <v>693847.64736004372</v>
      </c>
      <c r="T56" s="14">
        <f>T$5*((1+'User Inputs'!$E$9)^$B55)+T$4*((1+'User Inputs'!$E$12)^$B55)</f>
        <v>736506.58458129154</v>
      </c>
      <c r="U56" s="4" t="s">
        <v>42</v>
      </c>
      <c r="V56" s="33">
        <v>15</v>
      </c>
      <c r="W56" s="14">
        <f>W$5*((1+'User Inputs'!$E$9)^$B55)+W$4*((1+'User Inputs'!$E$12)^$B55)</f>
        <v>793089.40530518396</v>
      </c>
      <c r="X56" s="14">
        <f>X$5*((1+'User Inputs'!$E$9)^$B55)+X$4*((1+'User Inputs'!$E$12)^$B55)</f>
        <v>960993.01221176598</v>
      </c>
      <c r="Y56" s="14">
        <f>Y$5*((1+'User Inputs'!$E$9)^$B55)+Y$4*((1+'User Inputs'!$E$12)^$B55)</f>
        <v>1115775.6513088392</v>
      </c>
      <c r="Z56" s="14">
        <f>Z$5*((1+'User Inputs'!$E$9)^$B55)+Z$4*((1+'User Inputs'!$E$12)^$B55)</f>
        <v>639751.72145228996</v>
      </c>
      <c r="AA56" s="14">
        <f>AA$5*((1+'User Inputs'!$E$9)^$B55)+AA$4*((1+'User Inputs'!$E$12)^$B55)</f>
        <v>823426.58768838271</v>
      </c>
      <c r="AB56" s="14">
        <f>AB$5*((1+'User Inputs'!$E$9)^$B55)+AB$4*((1+'User Inputs'!$E$12)^$B55)</f>
        <v>913954.73186767707</v>
      </c>
      <c r="AC56" s="14">
        <f>AC$5*((1+'User Inputs'!$E$9)^$B55)+AC$4*((1+'User Inputs'!$E$12)^$B55)</f>
        <v>935008.67100336927</v>
      </c>
      <c r="AD56" s="14">
        <f>AD$5*((1+'User Inputs'!$E$9)^$B55)+AD$4*((1+'User Inputs'!$E$12)^$B55)</f>
        <v>1082901.34294206</v>
      </c>
    </row>
    <row r="57" spans="1:30" x14ac:dyDescent="0.25">
      <c r="A57" s="4" t="s">
        <v>42</v>
      </c>
      <c r="B57" s="33">
        <v>16</v>
      </c>
      <c r="C57" s="14">
        <f>C$5*((1+'User Inputs'!$E$9)^$B56)+C$4*((1+'User Inputs'!$E$12)^$B56)</f>
        <v>863460.82265734766</v>
      </c>
      <c r="D57" s="14">
        <f>D$5*((1+'User Inputs'!$E$9)^$B56)+D$4*((1+'User Inputs'!$E$12)^$B56)</f>
        <v>988184.04762723134</v>
      </c>
      <c r="E57" s="14">
        <f>E$5*((1+'User Inputs'!$E$9)^$B56)+E$4*((1+'User Inputs'!$E$12)^$B56)</f>
        <v>1116657.6846516219</v>
      </c>
      <c r="F57" s="14">
        <f>F$5*((1+'User Inputs'!$E$9)^$B56)+F$4*((1+'User Inputs'!$E$12)^$B56)</f>
        <v>648455.90490253386</v>
      </c>
      <c r="G57" s="14">
        <f>G$5*((1+'User Inputs'!$E$9)^$B56)+G$4*((1+'User Inputs'!$E$12)^$B56)</f>
        <v>798549.36066091724</v>
      </c>
      <c r="H57" s="14">
        <f>H$5*((1+'User Inputs'!$E$9)^$B56)+H$4*((1+'User Inputs'!$E$12)^$B56)</f>
        <v>809966.08728745824</v>
      </c>
      <c r="I57" s="14">
        <f>I$5*((1+'User Inputs'!$E$9)^$B56)+I$4*((1+'User Inputs'!$E$12)^$B56)</f>
        <v>887638.95557477232</v>
      </c>
      <c r="J57" s="14">
        <f>J$5*((1+'User Inputs'!$E$9)^$B56)+J$4*((1+'User Inputs'!$E$12)^$B56)</f>
        <v>990312.63855417457</v>
      </c>
      <c r="K57" s="4" t="s">
        <v>42</v>
      </c>
      <c r="L57" s="33">
        <v>16</v>
      </c>
      <c r="M57" s="14">
        <f>M$5*((1+'User Inputs'!$E$9)^$B56)+M$4*((1+'User Inputs'!$E$12)^$B56)</f>
        <v>881486.76421528135</v>
      </c>
      <c r="N57" s="14">
        <f>N$5*((1+'User Inputs'!$E$9)^$B56)+N$4*((1+'User Inputs'!$E$12)^$B56)</f>
        <v>948010.18959782925</v>
      </c>
      <c r="O57" s="14">
        <f>O$5*((1+'User Inputs'!$E$9)^$B56)+O$4*((1+'User Inputs'!$E$12)^$B56)</f>
        <v>1034696.5606398294</v>
      </c>
      <c r="P57" s="14">
        <f>P$5*((1+'User Inputs'!$E$9)^$B56)+P$4*((1+'User Inputs'!$E$12)^$B56)</f>
        <v>609027.67076529737</v>
      </c>
      <c r="Q57" s="14">
        <f>Q$5*((1+'User Inputs'!$E$9)^$B56)+Q$4*((1+'User Inputs'!$E$12)^$B56)</f>
        <v>704221.12808317365</v>
      </c>
      <c r="R57" s="14">
        <f>R$5*((1+'User Inputs'!$E$9)^$B56)+R$4*((1+'User Inputs'!$E$12)^$B56)</f>
        <v>627473.62273903203</v>
      </c>
      <c r="S57" s="14">
        <f>S$5*((1+'User Inputs'!$E$9)^$B56)+S$4*((1+'User Inputs'!$E$12)^$B56)</f>
        <v>755000.39257094346</v>
      </c>
      <c r="T57" s="14">
        <f>T$5*((1+'User Inputs'!$E$9)^$B56)+T$4*((1+'User Inputs'!$E$12)^$B56)</f>
        <v>799795.52145575185</v>
      </c>
      <c r="U57" s="4" t="s">
        <v>42</v>
      </c>
      <c r="V57" s="33">
        <v>16</v>
      </c>
      <c r="W57" s="14">
        <f>W$5*((1+'User Inputs'!$E$9)^$B56)+W$4*((1+'User Inputs'!$E$12)^$B56)</f>
        <v>845434.88109941408</v>
      </c>
      <c r="X57" s="14">
        <f>X$5*((1+'User Inputs'!$E$9)^$B56)+X$4*((1+'User Inputs'!$E$12)^$B56)</f>
        <v>1028357.9056566337</v>
      </c>
      <c r="Y57" s="14">
        <f>Y$5*((1+'User Inputs'!$E$9)^$B56)+Y$4*((1+'User Inputs'!$E$12)^$B56)</f>
        <v>1198618.8086634143</v>
      </c>
      <c r="Z57" s="14">
        <f>Z$5*((1+'User Inputs'!$E$9)^$B56)+Z$4*((1+'User Inputs'!$E$12)^$B56)</f>
        <v>687884.13903977035</v>
      </c>
      <c r="AA57" s="14">
        <f>AA$5*((1+'User Inputs'!$E$9)^$B56)+AA$4*((1+'User Inputs'!$E$12)^$B56)</f>
        <v>892877.59323866083</v>
      </c>
      <c r="AB57" s="14">
        <f>AB$5*((1+'User Inputs'!$E$9)^$B56)+AB$4*((1+'User Inputs'!$E$12)^$B56)</f>
        <v>992458.55183588457</v>
      </c>
      <c r="AC57" s="14">
        <f>AC$5*((1+'User Inputs'!$E$9)^$B56)+AC$4*((1+'User Inputs'!$E$12)^$B56)</f>
        <v>1020277.5185786014</v>
      </c>
      <c r="AD57" s="14">
        <f>AD$5*((1+'User Inputs'!$E$9)^$B56)+AD$4*((1+'User Inputs'!$E$12)^$B56)</f>
        <v>1180829.7556525972</v>
      </c>
    </row>
    <row r="58" spans="1:30" x14ac:dyDescent="0.25">
      <c r="A58" s="4" t="s">
        <v>42</v>
      </c>
      <c r="B58" s="33">
        <v>17</v>
      </c>
      <c r="C58" s="14">
        <f>C$5*((1+'User Inputs'!$E$9)^$B57)+C$4*((1+'User Inputs'!$E$12)^$B57)</f>
        <v>922304.17089206842</v>
      </c>
      <c r="D58" s="14">
        <f>D$5*((1+'User Inputs'!$E$9)^$B57)+D$4*((1+'User Inputs'!$E$12)^$B57)</f>
        <v>1057693.3564581196</v>
      </c>
      <c r="E58" s="14">
        <f>E$5*((1+'User Inputs'!$E$9)^$B57)+E$4*((1+'User Inputs'!$E$12)^$B57)</f>
        <v>1199014.3571849491</v>
      </c>
      <c r="F58" s="14">
        <f>F$5*((1+'User Inputs'!$E$9)^$B57)+F$4*((1+'User Inputs'!$E$12)^$B57)</f>
        <v>697141.88574388367</v>
      </c>
      <c r="G58" s="14">
        <f>G$5*((1+'User Inputs'!$E$9)^$B57)+G$4*((1+'User Inputs'!$E$12)^$B57)</f>
        <v>865254.81044407771</v>
      </c>
      <c r="H58" s="14">
        <f>H$5*((1+'User Inputs'!$E$9)^$B57)+H$4*((1+'User Inputs'!$E$12)^$B57)</f>
        <v>877813.20973327279</v>
      </c>
      <c r="I58" s="14">
        <f>I$5*((1+'User Inputs'!$E$9)^$B57)+I$4*((1+'User Inputs'!$E$12)^$B57)</f>
        <v>968006.19121664274</v>
      </c>
      <c r="J58" s="14">
        <f>J$5*((1+'User Inputs'!$E$9)^$B57)+J$4*((1+'User Inputs'!$E$12)^$B57)</f>
        <v>1078774.9463942498</v>
      </c>
      <c r="K58" s="4" t="s">
        <v>42</v>
      </c>
      <c r="L58" s="33">
        <v>17</v>
      </c>
      <c r="M58" s="14">
        <f>M$5*((1+'User Inputs'!$E$9)^$B57)+M$4*((1+'User Inputs'!$E$12)^$B57)</f>
        <v>942132.70660579542</v>
      </c>
      <c r="N58" s="14">
        <f>N$5*((1+'User Inputs'!$E$9)^$B57)+N$4*((1+'User Inputs'!$E$12)^$B57)</f>
        <v>1013502.1126257773</v>
      </c>
      <c r="O58" s="14">
        <f>O$5*((1+'User Inputs'!$E$9)^$B57)+O$4*((1+'User Inputs'!$E$12)^$B57)</f>
        <v>1108857.1207719774</v>
      </c>
      <c r="P58" s="14">
        <f>P$5*((1+'User Inputs'!$E$9)^$B57)+P$4*((1+'User Inputs'!$E$12)^$B57)</f>
        <v>653770.82819292357</v>
      </c>
      <c r="Q58" s="14">
        <f>Q$5*((1+'User Inputs'!$E$9)^$B57)+Q$4*((1+'User Inputs'!$E$12)^$B57)</f>
        <v>761493.75460855966</v>
      </c>
      <c r="R58" s="14">
        <f>R$5*((1+'User Inputs'!$E$9)^$B57)+R$4*((1+'User Inputs'!$E$12)^$B57)</f>
        <v>677071.49873000383</v>
      </c>
      <c r="S58" s="14">
        <f>S$5*((1+'User Inputs'!$E$9)^$B57)+S$4*((1+'User Inputs'!$E$12)^$B57)</f>
        <v>822103.77191243088</v>
      </c>
      <c r="T58" s="14">
        <f>T$5*((1+'User Inputs'!$E$9)^$B57)+T$4*((1+'User Inputs'!$E$12)^$B57)</f>
        <v>869206.11758598499</v>
      </c>
      <c r="U58" s="4" t="s">
        <v>42</v>
      </c>
      <c r="V58" s="33">
        <v>17</v>
      </c>
      <c r="W58" s="14">
        <f>W$5*((1+'User Inputs'!$E$9)^$B57)+W$4*((1+'User Inputs'!$E$12)^$B57)</f>
        <v>902475.6351783413</v>
      </c>
      <c r="X58" s="14">
        <f>X$5*((1+'User Inputs'!$E$9)^$B57)+X$4*((1+'User Inputs'!$E$12)^$B57)</f>
        <v>1101884.6002904621</v>
      </c>
      <c r="Y58" s="14">
        <f>Y$5*((1+'User Inputs'!$E$9)^$B57)+Y$4*((1+'User Inputs'!$E$12)^$B57)</f>
        <v>1289171.5935979206</v>
      </c>
      <c r="Z58" s="14">
        <f>Z$5*((1+'User Inputs'!$E$9)^$B57)+Z$4*((1+'User Inputs'!$E$12)^$B57)</f>
        <v>740512.94329484378</v>
      </c>
      <c r="AA58" s="14">
        <f>AA$5*((1+'User Inputs'!$E$9)^$B57)+AA$4*((1+'User Inputs'!$E$12)^$B57)</f>
        <v>969015.86627959565</v>
      </c>
      <c r="AB58" s="14">
        <f>AB$5*((1+'User Inputs'!$E$9)^$B57)+AB$4*((1+'User Inputs'!$E$12)^$B57)</f>
        <v>1078554.9207365417</v>
      </c>
      <c r="AC58" s="14">
        <f>AC$5*((1+'User Inputs'!$E$9)^$B57)+AC$4*((1+'User Inputs'!$E$12)^$B57)</f>
        <v>1113908.6105208548</v>
      </c>
      <c r="AD58" s="14">
        <f>AD$5*((1+'User Inputs'!$E$9)^$B57)+AD$4*((1+'User Inputs'!$E$12)^$B57)</f>
        <v>1288343.7752025146</v>
      </c>
    </row>
    <row r="59" spans="1:30" x14ac:dyDescent="0.25">
      <c r="A59" s="4" t="s">
        <v>42</v>
      </c>
      <c r="B59" s="33">
        <v>18</v>
      </c>
      <c r="C59" s="14">
        <f>C$5*((1+'User Inputs'!$E$9)^$B58)+C$4*((1+'User Inputs'!$E$12)^$B58)</f>
        <v>986481.79926964105</v>
      </c>
      <c r="D59" s="14">
        <f>D$5*((1+'User Inputs'!$E$9)^$B58)+D$4*((1+'User Inputs'!$E$12)^$B58)</f>
        <v>1133567.4142534598</v>
      </c>
      <c r="E59" s="14">
        <f>E$5*((1+'User Inputs'!$E$9)^$B58)+E$4*((1+'User Inputs'!$E$12)^$B58)</f>
        <v>1289020.5150529724</v>
      </c>
      <c r="F59" s="14">
        <f>F$5*((1+'User Inputs'!$E$9)^$B58)+F$4*((1+'User Inputs'!$E$12)^$B58)</f>
        <v>750373.27247639047</v>
      </c>
      <c r="G59" s="14">
        <f>G$5*((1+'User Inputs'!$E$9)^$B58)+G$4*((1+'User Inputs'!$E$12)^$B58)</f>
        <v>938367.81547989533</v>
      </c>
      <c r="H59" s="14">
        <f>H$5*((1+'User Inputs'!$E$9)^$B58)+H$4*((1+'User Inputs'!$E$12)^$B58)</f>
        <v>952182.05469801021</v>
      </c>
      <c r="I59" s="14">
        <f>I$5*((1+'User Inputs'!$E$9)^$B58)+I$4*((1+'User Inputs'!$E$12)^$B58)</f>
        <v>1056242.2172243882</v>
      </c>
      <c r="J59" s="14">
        <f>J$5*((1+'User Inputs'!$E$9)^$B58)+J$4*((1+'User Inputs'!$E$12)^$B58)</f>
        <v>1175872.1058980259</v>
      </c>
      <c r="K59" s="4" t="s">
        <v>42</v>
      </c>
      <c r="L59" s="33">
        <v>18</v>
      </c>
      <c r="M59" s="14">
        <f>M$5*((1+'User Inputs'!$E$9)^$B58)+M$4*((1+'User Inputs'!$E$12)^$B58)</f>
        <v>1008293.1885547407</v>
      </c>
      <c r="N59" s="14">
        <f>N$5*((1+'User Inputs'!$E$9)^$B58)+N$4*((1+'User Inputs'!$E$12)^$B58)</f>
        <v>1084957.0460378833</v>
      </c>
      <c r="O59" s="14">
        <f>O$5*((1+'User Inputs'!$E$9)^$B58)+O$4*((1+'User Inputs'!$E$12)^$B58)</f>
        <v>1189847.5549987033</v>
      </c>
      <c r="P59" s="14">
        <f>P$5*((1+'User Inputs'!$E$9)^$B58)+P$4*((1+'User Inputs'!$E$12)^$B58)</f>
        <v>702665.10917033418</v>
      </c>
      <c r="Q59" s="14">
        <f>Q$5*((1+'User Inputs'!$E$9)^$B58)+Q$4*((1+'User Inputs'!$E$12)^$B58)</f>
        <v>824230.65406082571</v>
      </c>
      <c r="R59" s="14">
        <f>R$5*((1+'User Inputs'!$E$9)^$B58)+R$4*((1+'User Inputs'!$E$12)^$B58)</f>
        <v>731366.17259441433</v>
      </c>
      <c r="S59" s="14">
        <f>S$5*((1+'User Inputs'!$E$9)^$B58)+S$4*((1+'User Inputs'!$E$12)^$B58)</f>
        <v>895749.5559897552</v>
      </c>
      <c r="T59" s="14">
        <f>T$5*((1+'User Inputs'!$E$9)^$B58)+T$4*((1+'User Inputs'!$E$12)^$B58)</f>
        <v>945346.39420893439</v>
      </c>
      <c r="U59" s="4" t="s">
        <v>42</v>
      </c>
      <c r="V59" s="33">
        <v>18</v>
      </c>
      <c r="W59" s="14">
        <f>W$5*((1+'User Inputs'!$E$9)^$B58)+W$4*((1+'User Inputs'!$E$12)^$B58)</f>
        <v>964670.40998454113</v>
      </c>
      <c r="X59" s="14">
        <f>X$5*((1+'User Inputs'!$E$9)^$B58)+X$4*((1+'User Inputs'!$E$12)^$B58)</f>
        <v>1182177.7824690365</v>
      </c>
      <c r="Y59" s="14">
        <f>Y$5*((1+'User Inputs'!$E$9)^$B58)+Y$4*((1+'User Inputs'!$E$12)^$B58)</f>
        <v>1388193.4751072412</v>
      </c>
      <c r="Z59" s="14">
        <f>Z$5*((1+'User Inputs'!$E$9)^$B58)+Z$4*((1+'User Inputs'!$E$12)^$B58)</f>
        <v>798081.43578244653</v>
      </c>
      <c r="AA59" s="14">
        <f>AA$5*((1+'User Inputs'!$E$9)^$B58)+AA$4*((1+'User Inputs'!$E$12)^$B58)</f>
        <v>1052504.9768989652</v>
      </c>
      <c r="AB59" s="14">
        <f>AB$5*((1+'User Inputs'!$E$9)^$B58)+AB$4*((1+'User Inputs'!$E$12)^$B58)</f>
        <v>1172997.9368016059</v>
      </c>
      <c r="AC59" s="14">
        <f>AC$5*((1+'User Inputs'!$E$9)^$B58)+AC$4*((1+'User Inputs'!$E$12)^$B58)</f>
        <v>1216734.8784590212</v>
      </c>
      <c r="AD59" s="14">
        <f>AD$5*((1+'User Inputs'!$E$9)^$B58)+AD$4*((1+'User Inputs'!$E$12)^$B58)</f>
        <v>1406397.8175871172</v>
      </c>
    </row>
    <row r="60" spans="1:30" x14ac:dyDescent="0.25">
      <c r="A60" s="4" t="s">
        <v>42</v>
      </c>
      <c r="B60" s="33">
        <v>19</v>
      </c>
      <c r="C60" s="14">
        <f>C$5*((1+'User Inputs'!$E$9)^$B59)+C$4*((1+'User Inputs'!$E$12)^$B59)</f>
        <v>1056516.134710738</v>
      </c>
      <c r="D60" s="14">
        <f>D$5*((1+'User Inputs'!$E$9)^$B59)+D$4*((1+'User Inputs'!$E$12)^$B59)</f>
        <v>1216430.9722713246</v>
      </c>
      <c r="E60" s="14">
        <f>E$5*((1+'User Inputs'!$E$9)^$B59)+E$4*((1+'User Inputs'!$E$12)^$B59)</f>
        <v>1387429.3831507885</v>
      </c>
      <c r="F60" s="14">
        <f>F$5*((1+'User Inputs'!$E$9)^$B59)+F$4*((1+'User Inputs'!$E$12)^$B59)</f>
        <v>808598.14184531011</v>
      </c>
      <c r="G60" s="14">
        <f>G$5*((1+'User Inputs'!$E$9)^$B59)+G$4*((1+'User Inputs'!$E$12)^$B59)</f>
        <v>1018523.8714991233</v>
      </c>
      <c r="H60" s="14">
        <f>H$5*((1+'User Inputs'!$E$9)^$B59)+H$4*((1+'User Inputs'!$E$12)^$B59)</f>
        <v>1033719.5346390493</v>
      </c>
      <c r="I60" s="14">
        <f>I$5*((1+'User Inputs'!$E$9)^$B59)+I$4*((1+'User Inputs'!$E$12)^$B59)</f>
        <v>1153130.5539706298</v>
      </c>
      <c r="J60" s="14">
        <f>J$5*((1+'User Inputs'!$E$9)^$B59)+J$4*((1+'User Inputs'!$E$12)^$B59)</f>
        <v>1282463.3746494665</v>
      </c>
      <c r="K60" s="4" t="s">
        <v>42</v>
      </c>
      <c r="L60" s="33">
        <v>19</v>
      </c>
      <c r="M60" s="14">
        <f>M$5*((1+'User Inputs'!$E$9)^$B59)+M$4*((1+'User Inputs'!$E$12)^$B59)</f>
        <v>1080508.6629243477</v>
      </c>
      <c r="N60" s="14">
        <f>N$5*((1+'User Inputs'!$E$9)^$B59)+N$4*((1+'User Inputs'!$E$12)^$B59)</f>
        <v>1162959.5672341904</v>
      </c>
      <c r="O60" s="14">
        <f>O$5*((1+'User Inputs'!$E$9)^$B59)+O$4*((1+'User Inputs'!$E$12)^$B59)</f>
        <v>1278339.1270910925</v>
      </c>
      <c r="P60" s="14">
        <f>P$5*((1+'User Inputs'!$E$9)^$B59)+P$4*((1+'User Inputs'!$E$12)^$B59)</f>
        <v>756119.1622086484</v>
      </c>
      <c r="Q60" s="14">
        <f>Q$5*((1+'User Inputs'!$E$9)^$B59)+Q$4*((1+'User Inputs'!$E$12)^$B59)</f>
        <v>892972.99393814639</v>
      </c>
      <c r="R60" s="14">
        <f>R$5*((1+'User Inputs'!$E$9)^$B59)+R$4*((1+'User Inputs'!$E$12)^$B59)</f>
        <v>790822.06432509399</v>
      </c>
      <c r="S60" s="14">
        <f>S$5*((1+'User Inputs'!$E$9)^$B59)+S$4*((1+'User Inputs'!$E$12)^$B59)</f>
        <v>976588.62661253347</v>
      </c>
      <c r="T60" s="14">
        <f>T$5*((1+'User Inputs'!$E$9)^$B59)+T$4*((1+'User Inputs'!$E$12)^$B59)</f>
        <v>1028885.0917914659</v>
      </c>
      <c r="U60" s="4" t="s">
        <v>42</v>
      </c>
      <c r="V60" s="33">
        <v>19</v>
      </c>
      <c r="W60" s="14">
        <f>W$5*((1+'User Inputs'!$E$9)^$B59)+W$4*((1+'User Inputs'!$E$12)^$B59)</f>
        <v>1032523.6064971283</v>
      </c>
      <c r="X60" s="14">
        <f>X$5*((1+'User Inputs'!$E$9)^$B59)+X$4*((1+'User Inputs'!$E$12)^$B59)</f>
        <v>1269902.377308459</v>
      </c>
      <c r="Y60" s="14">
        <f>Y$5*((1+'User Inputs'!$E$9)^$B59)+Y$4*((1+'User Inputs'!$E$12)^$B59)</f>
        <v>1496519.639210484</v>
      </c>
      <c r="Z60" s="14">
        <f>Z$5*((1+'User Inputs'!$E$9)^$B59)+Z$4*((1+'User Inputs'!$E$12)^$B59)</f>
        <v>861077.12148197182</v>
      </c>
      <c r="AA60" s="14">
        <f>AA$5*((1+'User Inputs'!$E$9)^$B59)+AA$4*((1+'User Inputs'!$E$12)^$B59)</f>
        <v>1144074.7490600999</v>
      </c>
      <c r="AB60" s="14">
        <f>AB$5*((1+'User Inputs'!$E$9)^$B59)+AB$4*((1+'User Inputs'!$E$12)^$B59)</f>
        <v>1276617.0049530049</v>
      </c>
      <c r="AC60" s="14">
        <f>AC$5*((1+'User Inputs'!$E$9)^$B59)+AC$4*((1+'User Inputs'!$E$12)^$B59)</f>
        <v>1329672.4813287263</v>
      </c>
      <c r="AD60" s="14">
        <f>AD$5*((1+'User Inputs'!$E$9)^$B59)+AD$4*((1+'User Inputs'!$E$12)^$B59)</f>
        <v>1536041.6575074671</v>
      </c>
    </row>
    <row r="61" spans="1:30" x14ac:dyDescent="0.25">
      <c r="A61" s="4" t="s">
        <v>42</v>
      </c>
      <c r="B61" s="33">
        <v>20</v>
      </c>
      <c r="C61" s="14">
        <f>C$5*((1+'User Inputs'!$E$9)^$B60)+C$4*((1+'User Inputs'!$E$12)^$B60)</f>
        <v>1132981.6268062275</v>
      </c>
      <c r="D61" s="14">
        <f>D$5*((1+'User Inputs'!$E$9)^$B60)+D$4*((1+'User Inputs'!$E$12)^$B60)</f>
        <v>1306971.0224228266</v>
      </c>
      <c r="E61" s="14">
        <f>E$5*((1+'User Inputs'!$E$9)^$B60)+E$4*((1+'User Inputs'!$E$12)^$B60)</f>
        <v>1495069.2743902367</v>
      </c>
      <c r="F61" s="14">
        <f>F$5*((1+'User Inputs'!$E$9)^$B60)+F$4*((1+'User Inputs'!$E$12)^$B60)</f>
        <v>872309.24899354752</v>
      </c>
      <c r="G61" s="14">
        <f>G$5*((1+'User Inputs'!$E$9)^$B60)+G$4*((1+'User Inputs'!$E$12)^$B60)</f>
        <v>1106421.9186096988</v>
      </c>
      <c r="H61" s="14">
        <f>H$5*((1+'User Inputs'!$E$9)^$B60)+H$4*((1+'User Inputs'!$E$12)^$B60)</f>
        <v>1123137.1480636175</v>
      </c>
      <c r="I61" s="14">
        <f>I$5*((1+'User Inputs'!$E$9)^$B60)+I$4*((1+'User Inputs'!$E$12)^$B60)</f>
        <v>1259533.0066919718</v>
      </c>
      <c r="J61" s="14">
        <f>J$5*((1+'User Inputs'!$E$9)^$B60)+J$4*((1+'User Inputs'!$E$12)^$B60)</f>
        <v>1399493.8514392842</v>
      </c>
      <c r="K61" s="4" t="s">
        <v>42</v>
      </c>
      <c r="L61" s="33">
        <v>20</v>
      </c>
      <c r="M61" s="14">
        <f>M$5*((1+'User Inputs'!$E$9)^$B60)+M$4*((1+'User Inputs'!$E$12)^$B60)</f>
        <v>1159373.4078411981</v>
      </c>
      <c r="N61" s="14">
        <f>N$5*((1+'User Inputs'!$E$9)^$B60)+N$4*((1+'User Inputs'!$E$12)^$B60)</f>
        <v>1248152.476881979</v>
      </c>
      <c r="O61" s="14">
        <f>O$5*((1+'User Inputs'!$E$9)^$B60)+O$4*((1+'User Inputs'!$E$12)^$B60)</f>
        <v>1375069.9927245714</v>
      </c>
      <c r="P61" s="14">
        <f>P$5*((1+'User Inputs'!$E$9)^$B60)+P$4*((1+'User Inputs'!$E$12)^$B60)</f>
        <v>814582.37139321957</v>
      </c>
      <c r="Q61" s="14">
        <f>Q$5*((1+'User Inputs'!$E$9)^$B60)+Q$4*((1+'User Inputs'!$E$12)^$B60)</f>
        <v>968315.95329262433</v>
      </c>
      <c r="R61" s="14">
        <f>R$5*((1+'User Inputs'!$E$9)^$B60)+R$4*((1+'User Inputs'!$E$12)^$B60)</f>
        <v>855949.93071826641</v>
      </c>
      <c r="S61" s="14">
        <f>S$5*((1+'User Inputs'!$E$9)^$B60)+S$4*((1+'User Inputs'!$E$12)^$B60)</f>
        <v>1065336.8865980657</v>
      </c>
      <c r="T61" s="14">
        <f>T$5*((1+'User Inputs'!$E$9)^$B60)+T$4*((1+'User Inputs'!$E$12)^$B60)</f>
        <v>1120557.7402954835</v>
      </c>
      <c r="U61" s="4" t="s">
        <v>42</v>
      </c>
      <c r="V61" s="33">
        <v>20</v>
      </c>
      <c r="W61" s="14">
        <f>W$5*((1+'User Inputs'!$E$9)^$B60)+W$4*((1+'User Inputs'!$E$12)^$B60)</f>
        <v>1106589.8457712568</v>
      </c>
      <c r="X61" s="14">
        <f>X$5*((1+'User Inputs'!$E$9)^$B60)+X$4*((1+'User Inputs'!$E$12)^$B60)</f>
        <v>1365789.5679636747</v>
      </c>
      <c r="Y61" s="14">
        <f>Y$5*((1+'User Inputs'!$E$9)^$B60)+Y$4*((1+'User Inputs'!$E$12)^$B60)</f>
        <v>1615068.556055902</v>
      </c>
      <c r="Z61" s="14">
        <f>Z$5*((1+'User Inputs'!$E$9)^$B60)+Z$4*((1+'User Inputs'!$E$12)^$B60)</f>
        <v>930036.12659387547</v>
      </c>
      <c r="AA61" s="14">
        <f>AA$5*((1+'User Inputs'!$E$9)^$B60)+AA$4*((1+'User Inputs'!$E$12)^$B60)</f>
        <v>1244527.8839267732</v>
      </c>
      <c r="AB61" s="14">
        <f>AB$5*((1+'User Inputs'!$E$9)^$B60)+AB$4*((1+'User Inputs'!$E$12)^$B60)</f>
        <v>1390324.3654089686</v>
      </c>
      <c r="AC61" s="14">
        <f>AC$5*((1+'User Inputs'!$E$9)^$B60)+AC$4*((1+'User Inputs'!$E$12)^$B60)</f>
        <v>1453729.1267858781</v>
      </c>
      <c r="AD61" s="14">
        <f>AD$5*((1+'User Inputs'!$E$9)^$B60)+AD$4*((1+'User Inputs'!$E$12)^$B60)</f>
        <v>1678429.9625830848</v>
      </c>
    </row>
    <row r="62" spans="1:30" x14ac:dyDescent="0.25">
      <c r="A62" s="4" t="s">
        <v>42</v>
      </c>
      <c r="B62" s="33">
        <v>21</v>
      </c>
      <c r="C62" s="14">
        <f>C$5*((1+'User Inputs'!$E$9)^$B61)+C$4*((1+'User Inputs'!$E$12)^$B61)</f>
        <v>1216509.9456837543</v>
      </c>
      <c r="D62" s="14">
        <f>D$5*((1+'User Inputs'!$E$9)^$B61)+D$4*((1+'User Inputs'!$E$12)^$B61)</f>
        <v>1405943.0166479661</v>
      </c>
      <c r="E62" s="14">
        <f>E$5*((1+'User Inputs'!$E$9)^$B61)+E$4*((1+'User Inputs'!$E$12)^$B61)</f>
        <v>1612851.0938121171</v>
      </c>
      <c r="F62" s="14">
        <f>F$5*((1+'User Inputs'!$E$9)^$B61)+F$4*((1+'User Inputs'!$E$12)^$B61)</f>
        <v>942048.4927158826</v>
      </c>
      <c r="G62" s="14">
        <f>G$5*((1+'User Inputs'!$E$9)^$B61)+G$4*((1+'User Inputs'!$E$12)^$B61)</f>
        <v>1202830.6836305447</v>
      </c>
      <c r="H62" s="14">
        <f>H$5*((1+'User Inputs'!$E$9)^$B61)+H$4*((1+'User Inputs'!$E$12)^$B61)</f>
        <v>1221217.4360298554</v>
      </c>
      <c r="I62" s="14">
        <f>I$5*((1+'User Inputs'!$E$9)^$B61)+I$4*((1+'User Inputs'!$E$12)^$B61)</f>
        <v>1376397.4926319332</v>
      </c>
      <c r="J62" s="14">
        <f>J$5*((1+'User Inputs'!$E$9)^$B61)+J$4*((1+'User Inputs'!$E$12)^$B61)</f>
        <v>1528003.0586945808</v>
      </c>
      <c r="K62" s="4" t="s">
        <v>42</v>
      </c>
      <c r="L62" s="33">
        <v>21</v>
      </c>
      <c r="M62" s="14">
        <f>M$5*((1+'User Inputs'!$E$9)^$B61)+M$4*((1+'User Inputs'!$E$12)^$B61)</f>
        <v>1245540.904822222</v>
      </c>
      <c r="N62" s="14">
        <f>N$5*((1+'User Inputs'!$E$9)^$B61)+N$4*((1+'User Inputs'!$E$12)^$B61)</f>
        <v>1341242.6165530335</v>
      </c>
      <c r="O62" s="14">
        <f>O$5*((1+'User Inputs'!$E$9)^$B61)+O$4*((1+'User Inputs'!$E$12)^$B61)</f>
        <v>1480851.8839798851</v>
      </c>
      <c r="P62" s="14">
        <f>P$5*((1+'User Inputs'!$E$9)^$B61)+P$4*((1+'User Inputs'!$E$12)^$B61)</f>
        <v>878548.92735552194</v>
      </c>
      <c r="Q62" s="14">
        <f>Q$5*((1+'User Inputs'!$E$9)^$B61)+Q$4*((1+'User Inputs'!$E$12)^$B61)</f>
        <v>1050914.1217817629</v>
      </c>
      <c r="R62" s="14">
        <f>R$5*((1+'User Inputs'!$E$9)^$B61)+R$4*((1+'User Inputs'!$E$12)^$B61)</f>
        <v>927311.49694996921</v>
      </c>
      <c r="S62" s="14">
        <f>S$5*((1+'User Inputs'!$E$9)^$B61)+S$4*((1+'User Inputs'!$E$12)^$B61)</f>
        <v>1162781.7605286366</v>
      </c>
      <c r="T62" s="14">
        <f>T$5*((1+'User Inputs'!$E$9)^$B61)+T$4*((1+'User Inputs'!$E$12)^$B61)</f>
        <v>1221173.3364364</v>
      </c>
      <c r="U62" s="4" t="s">
        <v>42</v>
      </c>
      <c r="V62" s="33">
        <v>21</v>
      </c>
      <c r="W62" s="14">
        <f>W$5*((1+'User Inputs'!$E$9)^$B61)+W$4*((1+'User Inputs'!$E$12)^$B61)</f>
        <v>1187478.9865452864</v>
      </c>
      <c r="X62" s="14">
        <f>X$5*((1+'User Inputs'!$E$9)^$B61)+X$4*((1+'User Inputs'!$E$12)^$B61)</f>
        <v>1470643.4167428985</v>
      </c>
      <c r="Y62" s="14">
        <f>Y$5*((1+'User Inputs'!$E$9)^$B61)+Y$4*((1+'User Inputs'!$E$12)^$B61)</f>
        <v>1744850.3036443489</v>
      </c>
      <c r="Z62" s="14">
        <f>Z$5*((1+'User Inputs'!$E$9)^$B61)+Z$4*((1+'User Inputs'!$E$12)^$B61)</f>
        <v>1005548.0580762433</v>
      </c>
      <c r="AA62" s="14">
        <f>AA$5*((1+'User Inputs'!$E$9)^$B61)+AA$4*((1+'User Inputs'!$E$12)^$B61)</f>
        <v>1354747.2454793267</v>
      </c>
      <c r="AB62" s="14">
        <f>AB$5*((1+'User Inputs'!$E$9)^$B61)+AB$4*((1+'User Inputs'!$E$12)^$B61)</f>
        <v>1515123.3751097415</v>
      </c>
      <c r="AC62" s="14">
        <f>AC$5*((1+'User Inputs'!$E$9)^$B61)+AC$4*((1+'User Inputs'!$E$12)^$B61)</f>
        <v>1590013.2247352302</v>
      </c>
      <c r="AD62" s="14">
        <f>AD$5*((1+'User Inputs'!$E$9)^$B61)+AD$4*((1+'User Inputs'!$E$12)^$B61)</f>
        <v>1834832.7809527614</v>
      </c>
    </row>
    <row r="63" spans="1:30" x14ac:dyDescent="0.25">
      <c r="A63" s="4" t="s">
        <v>42</v>
      </c>
      <c r="B63" s="33">
        <v>22</v>
      </c>
      <c r="C63" s="14">
        <f>C$5*((1+'User Inputs'!$E$9)^$B62)+C$4*((1+'User Inputs'!$E$12)^$B62)</f>
        <v>1307795.6995729716</v>
      </c>
      <c r="D63" s="14">
        <f>D$5*((1+'User Inputs'!$E$9)^$B62)+D$4*((1+'User Inputs'!$E$12)^$B62)</f>
        <v>1514177.7081352763</v>
      </c>
      <c r="E63" s="14">
        <f>E$5*((1+'User Inputs'!$E$9)^$B62)+E$4*((1+'User Inputs'!$E$12)^$B62)</f>
        <v>1741776.5930158426</v>
      </c>
      <c r="F63" s="14">
        <f>F$5*((1+'User Inputs'!$E$9)^$B62)+F$4*((1+'User Inputs'!$E$12)^$B62)</f>
        <v>1018411.8271869109</v>
      </c>
      <c r="G63" s="14">
        <f>G$5*((1+'User Inputs'!$E$9)^$B62)+G$4*((1+'User Inputs'!$E$12)^$B62)</f>
        <v>1308595.6566166731</v>
      </c>
      <c r="H63" s="14">
        <f>H$5*((1+'User Inputs'!$E$9)^$B62)+H$4*((1+'User Inputs'!$E$12)^$B62)</f>
        <v>1328821.0842559149</v>
      </c>
      <c r="I63" s="14">
        <f>I$5*((1+'User Inputs'!$E$9)^$B62)+I$4*((1+'User Inputs'!$E$12)^$B62)</f>
        <v>1504766.6508713062</v>
      </c>
      <c r="J63" s="14">
        <f>J$5*((1+'User Inputs'!$E$9)^$B62)+J$4*((1+'User Inputs'!$E$12)^$B62)</f>
        <v>1669134.3831176346</v>
      </c>
      <c r="K63" s="4" t="s">
        <v>42</v>
      </c>
      <c r="L63" s="33">
        <v>22</v>
      </c>
      <c r="M63" s="14">
        <f>M$5*((1+'User Inputs'!$E$9)^$B62)+M$4*((1+'User Inputs'!$E$12)^$B62)</f>
        <v>1339729.7546252862</v>
      </c>
      <c r="N63" s="14">
        <f>N$5*((1+'User Inputs'!$E$9)^$B62)+N$4*((1+'User Inputs'!$E$12)^$B62)</f>
        <v>1443007.2680308507</v>
      </c>
      <c r="O63" s="14">
        <f>O$5*((1+'User Inputs'!$E$9)^$B62)+O$4*((1+'User Inputs'!$E$12)^$B62)</f>
        <v>1596577.4622003874</v>
      </c>
      <c r="P63" s="14">
        <f>P$5*((1+'User Inputs'!$E$9)^$B62)+P$4*((1+'User Inputs'!$E$12)^$B62)</f>
        <v>948562.30529051414</v>
      </c>
      <c r="Q63" s="14">
        <f>Q$5*((1+'User Inputs'!$E$9)^$B62)+Q$4*((1+'User Inputs'!$E$12)^$B62)</f>
        <v>1141487.4385830129</v>
      </c>
      <c r="R63" s="14">
        <f>R$5*((1+'User Inputs'!$E$9)^$B62)+R$4*((1+'User Inputs'!$E$12)^$B62)</f>
        <v>1005524.5512680399</v>
      </c>
      <c r="S63" s="14">
        <f>S$5*((1+'User Inputs'!$E$9)^$B62)+S$4*((1+'User Inputs'!$E$12)^$B62)</f>
        <v>1269789.3455576799</v>
      </c>
      <c r="T63" s="14">
        <f>T$5*((1+'User Inputs'!$E$9)^$B62)+T$4*((1+'User Inputs'!$E$12)^$B62)</f>
        <v>1331621.6886336356</v>
      </c>
      <c r="U63" s="4" t="s">
        <v>42</v>
      </c>
      <c r="V63" s="33">
        <v>22</v>
      </c>
      <c r="W63" s="14">
        <f>W$5*((1+'User Inputs'!$E$9)^$B62)+W$4*((1+'User Inputs'!$E$12)^$B62)</f>
        <v>1275861.6445206571</v>
      </c>
      <c r="X63" s="14">
        <f>X$5*((1+'User Inputs'!$E$9)^$B62)+X$4*((1+'User Inputs'!$E$12)^$B62)</f>
        <v>1585348.1482397022</v>
      </c>
      <c r="Y63" s="14">
        <f>Y$5*((1+'User Inputs'!$E$9)^$B62)+Y$4*((1+'User Inputs'!$E$12)^$B62)</f>
        <v>1886975.7238312976</v>
      </c>
      <c r="Z63" s="14">
        <f>Z$5*((1+'User Inputs'!$E$9)^$B62)+Z$4*((1+'User Inputs'!$E$12)^$B62)</f>
        <v>1088261.3490833077</v>
      </c>
      <c r="AA63" s="14">
        <f>AA$5*((1+'User Inputs'!$E$9)^$B62)+AA$4*((1+'User Inputs'!$E$12)^$B62)</f>
        <v>1475703.8746503333</v>
      </c>
      <c r="AB63" s="14">
        <f>AB$5*((1+'User Inputs'!$E$9)^$B62)+AB$4*((1+'User Inputs'!$E$12)^$B62)</f>
        <v>1652117.6172437896</v>
      </c>
      <c r="AC63" s="14">
        <f>AC$5*((1+'User Inputs'!$E$9)^$B62)+AC$4*((1+'User Inputs'!$E$12)^$B62)</f>
        <v>1739743.9561849327</v>
      </c>
      <c r="AD63" s="14">
        <f>AD$5*((1+'User Inputs'!$E$9)^$B62)+AD$4*((1+'User Inputs'!$E$12)^$B62)</f>
        <v>2006647.0776016333</v>
      </c>
    </row>
    <row r="64" spans="1:30" x14ac:dyDescent="0.25">
      <c r="A64" s="4" t="s">
        <v>42</v>
      </c>
      <c r="B64" s="33">
        <v>23</v>
      </c>
      <c r="C64" s="14">
        <f>C$5*((1+'User Inputs'!$E$9)^$B63)+C$4*((1+'User Inputs'!$E$12)^$B63)</f>
        <v>1407602.7240375278</v>
      </c>
      <c r="D64" s="14">
        <f>D$5*((1+'User Inputs'!$E$9)^$B63)+D$4*((1+'User Inputs'!$E$12)^$B63)</f>
        <v>1632588.6765677682</v>
      </c>
      <c r="E64" s="14">
        <f>E$5*((1+'User Inputs'!$E$9)^$B63)+E$4*((1+'User Inputs'!$E$12)^$B63)</f>
        <v>1882947.4499363911</v>
      </c>
      <c r="F64" s="14">
        <f>F$5*((1+'User Inputs'!$E$9)^$B63)+F$4*((1+'User Inputs'!$E$12)^$B63)</f>
        <v>1102054.6648090309</v>
      </c>
      <c r="G64" s="14">
        <f>G$5*((1+'User Inputs'!$E$9)^$B63)+G$4*((1+'User Inputs'!$E$12)^$B63)</f>
        <v>1424646.7649938758</v>
      </c>
      <c r="H64" s="14">
        <f>H$5*((1+'User Inputs'!$E$9)^$B63)+H$4*((1+'User Inputs'!$E$12)^$B63)</f>
        <v>1446894.7353970418</v>
      </c>
      <c r="I64" s="14">
        <f>I$5*((1+'User Inputs'!$E$9)^$B63)+I$4*((1+'User Inputs'!$E$12)^$B63)</f>
        <v>1645787.3131141404</v>
      </c>
      <c r="J64" s="14">
        <f>J$5*((1+'User Inputs'!$E$9)^$B63)+J$4*((1+'User Inputs'!$E$12)^$B63)</f>
        <v>1824145.4603540658</v>
      </c>
      <c r="K64" s="4" t="s">
        <v>42</v>
      </c>
      <c r="L64" s="33">
        <v>23</v>
      </c>
      <c r="M64" s="14">
        <f>M$5*((1+'User Inputs'!$E$9)^$B63)+M$4*((1+'User Inputs'!$E$12)^$B63)</f>
        <v>1442730.1845950738</v>
      </c>
      <c r="N64" s="14">
        <f>N$5*((1+'User Inputs'!$E$9)^$B63)+N$4*((1+'User Inputs'!$E$12)^$B63)</f>
        <v>1554301.1924528999</v>
      </c>
      <c r="O64" s="14">
        <f>O$5*((1+'User Inputs'!$E$9)^$B63)+O$4*((1+'User Inputs'!$E$12)^$B63)</f>
        <v>1723228.4060393905</v>
      </c>
      <c r="P64" s="14">
        <f>P$5*((1+'User Inputs'!$E$9)^$B63)+P$4*((1+'User Inputs'!$E$12)^$B63)</f>
        <v>1025220.1907229945</v>
      </c>
      <c r="Q64" s="14">
        <f>Q$5*((1+'User Inputs'!$E$9)^$B63)+Q$4*((1+'User Inputs'!$E$12)^$B63)</f>
        <v>1240827.7251568497</v>
      </c>
      <c r="R64" s="14">
        <f>R$5*((1+'User Inputs'!$E$9)^$B63)+R$4*((1+'User Inputs'!$E$12)^$B63)</f>
        <v>1091268.5491103793</v>
      </c>
      <c r="S64" s="14">
        <f>S$5*((1+'User Inputs'!$E$9)^$B63)+S$4*((1+'User Inputs'!$E$12)^$B63)</f>
        <v>1387312.2772691515</v>
      </c>
      <c r="T64" s="14">
        <f>T$5*((1+'User Inputs'!$E$9)^$B63)+T$4*((1+'User Inputs'!$E$12)^$B63)</f>
        <v>1452881.4964216668</v>
      </c>
      <c r="U64" s="4" t="s">
        <v>42</v>
      </c>
      <c r="V64" s="33">
        <v>23</v>
      </c>
      <c r="W64" s="14">
        <f>W$5*((1+'User Inputs'!$E$9)^$B63)+W$4*((1+'User Inputs'!$E$12)^$B63)</f>
        <v>1372475.2634799818</v>
      </c>
      <c r="X64" s="14">
        <f>X$5*((1+'User Inputs'!$E$9)^$B63)+X$4*((1+'User Inputs'!$E$12)^$B63)</f>
        <v>1710876.1606826368</v>
      </c>
      <c r="Y64" s="14">
        <f>Y$5*((1+'User Inputs'!$E$9)^$B63)+Y$4*((1+'User Inputs'!$E$12)^$B63)</f>
        <v>2042666.4938333917</v>
      </c>
      <c r="Z64" s="14">
        <f>Z$5*((1+'User Inputs'!$E$9)^$B63)+Z$4*((1+'User Inputs'!$E$12)^$B63)</f>
        <v>1178889.1388950674</v>
      </c>
      <c r="AA64" s="14">
        <f>AA$5*((1+'User Inputs'!$E$9)^$B63)+AA$4*((1+'User Inputs'!$E$12)^$B63)</f>
        <v>1608465.8048309018</v>
      </c>
      <c r="AB64" s="14">
        <f>AB$5*((1+'User Inputs'!$E$9)^$B63)+AB$4*((1+'User Inputs'!$E$12)^$B63)</f>
        <v>1802520.921683704</v>
      </c>
      <c r="AC64" s="14">
        <f>AC$5*((1+'User Inputs'!$E$9)^$B63)+AC$4*((1+'User Inputs'!$E$12)^$B63)</f>
        <v>1904262.3489591295</v>
      </c>
      <c r="AD64" s="14">
        <f>AD$5*((1+'User Inputs'!$E$9)^$B63)+AD$4*((1+'User Inputs'!$E$12)^$B63)</f>
        <v>2195409.4242864642</v>
      </c>
    </row>
    <row r="65" spans="1:30" x14ac:dyDescent="0.25">
      <c r="A65" s="4" t="s">
        <v>42</v>
      </c>
      <c r="B65" s="33">
        <v>24</v>
      </c>
      <c r="C65" s="14">
        <f>C$5*((1+'User Inputs'!$E$9)^$B64)+C$4*((1+'User Inputs'!$E$12)^$B64)</f>
        <v>1516771.0000386846</v>
      </c>
      <c r="D65" s="14">
        <f>D$5*((1+'User Inputs'!$E$9)^$B64)+D$4*((1+'User Inputs'!$E$12)^$B64)</f>
        <v>1762180.6057958882</v>
      </c>
      <c r="E65" s="14">
        <f>E$5*((1+'User Inputs'!$E$9)^$B64)+E$4*((1+'User Inputs'!$E$12)^$B64)</f>
        <v>2037575.2565013736</v>
      </c>
      <c r="F65" s="14">
        <f>F$5*((1+'User Inputs'!$E$9)^$B64)+F$4*((1+'User Inputs'!$E$12)^$B64)</f>
        <v>1193697.8192914315</v>
      </c>
      <c r="G65" s="14">
        <f>G$5*((1+'User Inputs'!$E$9)^$B64)+G$4*((1+'User Inputs'!$E$12)^$B64)</f>
        <v>1552006.8150631094</v>
      </c>
      <c r="H65" s="14">
        <f>H$5*((1+'User Inputs'!$E$9)^$B64)+H$4*((1+'User Inputs'!$E$12)^$B64)</f>
        <v>1576479.5825065919</v>
      </c>
      <c r="I65" s="14">
        <f>I$5*((1+'User Inputs'!$E$9)^$B64)+I$4*((1+'User Inputs'!$E$12)^$B64)</f>
        <v>1800720.921524372</v>
      </c>
      <c r="J65" s="14">
        <f>J$5*((1+'User Inputs'!$E$9)^$B64)+J$4*((1+'User Inputs'!$E$12)^$B64)</f>
        <v>1994419.5980926333</v>
      </c>
      <c r="K65" s="4" t="s">
        <v>42</v>
      </c>
      <c r="L65" s="33">
        <v>24</v>
      </c>
      <c r="M65" s="14">
        <f>M$5*((1+'User Inputs'!$E$9)^$B64)+M$4*((1+'User Inputs'!$E$12)^$B64)</f>
        <v>1555411.2066519849</v>
      </c>
      <c r="N65" s="14">
        <f>N$5*((1+'User Inputs'!$E$9)^$B64)+N$4*((1+'User Inputs'!$E$12)^$B64)</f>
        <v>1676064.373269533</v>
      </c>
      <c r="O65" s="14">
        <f>O$5*((1+'User Inputs'!$E$9)^$B64)+O$4*((1+'User Inputs'!$E$12)^$B64)</f>
        <v>1861884.3082146728</v>
      </c>
      <c r="P65" s="14">
        <f>P$5*((1+'User Inputs'!$E$9)^$B64)+P$4*((1+'User Inputs'!$E$12)^$B64)</f>
        <v>1109179.8977967915</v>
      </c>
      <c r="Q65" s="14">
        <f>Q$5*((1+'User Inputs'!$E$9)^$B64)+Q$4*((1+'User Inputs'!$E$12)^$B64)</f>
        <v>1349805.8712423805</v>
      </c>
      <c r="R65" s="14">
        <f>R$5*((1+'User Inputs'!$E$9)^$B64)+R$4*((1+'User Inputs'!$E$12)^$B64)</f>
        <v>1185290.7775912632</v>
      </c>
      <c r="S65" s="14">
        <f>S$5*((1+'User Inputs'!$E$9)^$B64)+S$4*((1+'User Inputs'!$E$12)^$B64)</f>
        <v>1516398.3820948841</v>
      </c>
      <c r="T65" s="14">
        <f>T$5*((1+'User Inputs'!$E$9)^$B64)+T$4*((1+'User Inputs'!$E$12)^$B64)</f>
        <v>1586029.2377669942</v>
      </c>
      <c r="U65" s="4" t="s">
        <v>42</v>
      </c>
      <c r="V65" s="33">
        <v>24</v>
      </c>
      <c r="W65" s="14">
        <f>W$5*((1+'User Inputs'!$E$9)^$B64)+W$4*((1+'User Inputs'!$E$12)^$B64)</f>
        <v>1478130.7934253837</v>
      </c>
      <c r="X65" s="14">
        <f>X$5*((1+'User Inputs'!$E$9)^$B64)+X$4*((1+'User Inputs'!$E$12)^$B64)</f>
        <v>1848296.8383222437</v>
      </c>
      <c r="Y65" s="14">
        <f>Y$5*((1+'User Inputs'!$E$9)^$B64)+Y$4*((1+'User Inputs'!$E$12)^$B64)</f>
        <v>2213266.2047880744</v>
      </c>
      <c r="Z65" s="14">
        <f>Z$5*((1+'User Inputs'!$E$9)^$B64)+Z$4*((1+'User Inputs'!$E$12)^$B64)</f>
        <v>1278215.7407860716</v>
      </c>
      <c r="AA65" s="14">
        <f>AA$5*((1+'User Inputs'!$E$9)^$B64)+AA$4*((1+'User Inputs'!$E$12)^$B64)</f>
        <v>1754207.7588838381</v>
      </c>
      <c r="AB65" s="14">
        <f>AB$5*((1+'User Inputs'!$E$9)^$B64)+AB$4*((1+'User Inputs'!$E$12)^$B64)</f>
        <v>1967668.3874219204</v>
      </c>
      <c r="AC65" s="14">
        <f>AC$5*((1+'User Inputs'!$E$9)^$B64)+AC$4*((1+'User Inputs'!$E$12)^$B64)</f>
        <v>2085043.4609538601</v>
      </c>
      <c r="AD65" s="14">
        <f>AD$5*((1+'User Inputs'!$E$9)^$B64)+AD$4*((1+'User Inputs'!$E$12)^$B64)</f>
        <v>2402809.958418272</v>
      </c>
    </row>
    <row r="66" spans="1:30" x14ac:dyDescent="0.25">
      <c r="A66" s="4" t="s">
        <v>42</v>
      </c>
      <c r="B66" s="33">
        <v>25</v>
      </c>
      <c r="C66" s="14">
        <f>C$5*((1+'User Inputs'!$E$9)^$B65)+C$4*((1+'User Inputs'!$E$12)^$B65)</f>
        <v>1636224.2637119051</v>
      </c>
      <c r="D66" s="14">
        <f>D$5*((1+'User Inputs'!$E$9)^$B65)+D$4*((1+'User Inputs'!$E$12)^$B65)</f>
        <v>1904058.3891782472</v>
      </c>
      <c r="E66" s="14">
        <f>E$5*((1+'User Inputs'!$E$9)^$B65)+E$4*((1+'User Inputs'!$E$12)^$B65)</f>
        <v>2206992.5049542808</v>
      </c>
      <c r="F66" s="14">
        <f>F$5*((1+'User Inputs'!$E$9)^$B65)+F$4*((1+'User Inputs'!$E$12)^$B65)</f>
        <v>1294134.0429821019</v>
      </c>
      <c r="G66" s="14">
        <f>G$5*((1+'User Inputs'!$E$9)^$B65)+G$4*((1+'User Inputs'!$E$12)^$B65)</f>
        <v>1691800.7776106629</v>
      </c>
      <c r="H66" s="14">
        <f>H$5*((1+'User Inputs'!$E$9)^$B65)+H$4*((1+'User Inputs'!$E$12)^$B65)</f>
        <v>1718720.8217984936</v>
      </c>
      <c r="I66" s="14">
        <f>I$5*((1+'User Inputs'!$E$9)^$B65)+I$4*((1+'User Inputs'!$E$12)^$B65)</f>
        <v>1970954.9883176023</v>
      </c>
      <c r="J66" s="14">
        <f>J$5*((1+'User Inputs'!$E$9)^$B65)+J$4*((1+'User Inputs'!$E$12)^$B65)</f>
        <v>2181478.34143912</v>
      </c>
      <c r="K66" s="4" t="s">
        <v>42</v>
      </c>
      <c r="L66" s="33">
        <v>25</v>
      </c>
      <c r="M66" s="14">
        <f>M$5*((1+'User Inputs'!$E$9)^$B65)+M$4*((1+'User Inputs'!$E$12)^$B65)</f>
        <v>1678728.4909865356</v>
      </c>
      <c r="N66" s="14">
        <f>N$5*((1+'User Inputs'!$E$9)^$B65)+N$4*((1+'User Inputs'!$E$12)^$B65)</f>
        <v>1809330.5333992564</v>
      </c>
      <c r="O66" s="14">
        <f>O$5*((1+'User Inputs'!$E$9)^$B65)+O$4*((1+'User Inputs'!$E$12)^$B65)</f>
        <v>2013732.4618389099</v>
      </c>
      <c r="P66" s="14">
        <f>P$5*((1+'User Inputs'!$E$9)^$B65)+P$4*((1+'User Inputs'!$E$12)^$B65)</f>
        <v>1201164.3293379978</v>
      </c>
      <c r="Q66" s="14">
        <f>Q$5*((1+'User Inputs'!$E$9)^$B65)+Q$4*((1+'User Inputs'!$E$12)^$B65)</f>
        <v>1469379.7394078611</v>
      </c>
      <c r="R66" s="14">
        <f>R$5*((1+'User Inputs'!$E$9)^$B65)+R$4*((1+'User Inputs'!$E$12)^$B65)</f>
        <v>1288413.136391632</v>
      </c>
      <c r="S66" s="14">
        <f>S$5*((1+'User Inputs'!$E$9)^$B65)+S$4*((1+'User Inputs'!$E$12)^$B65)</f>
        <v>1658200.1949451657</v>
      </c>
      <c r="T66" s="14">
        <f>T$5*((1+'User Inputs'!$E$9)^$B65)+T$4*((1+'User Inputs'!$E$12)^$B65)</f>
        <v>1732248.9450809178</v>
      </c>
      <c r="U66" s="4" t="s">
        <v>42</v>
      </c>
      <c r="V66" s="33">
        <v>25</v>
      </c>
      <c r="W66" s="14">
        <f>W$5*((1+'User Inputs'!$E$9)^$B65)+W$4*((1+'User Inputs'!$E$12)^$B65)</f>
        <v>1593720.0364372742</v>
      </c>
      <c r="X66" s="14">
        <f>X$5*((1+'User Inputs'!$E$9)^$B65)+X$4*((1+'User Inputs'!$E$12)^$B65)</f>
        <v>1998786.244957238</v>
      </c>
      <c r="Y66" s="14">
        <f>Y$5*((1+'User Inputs'!$E$9)^$B65)+Y$4*((1+'User Inputs'!$E$12)^$B65)</f>
        <v>2400252.5480696517</v>
      </c>
      <c r="Z66" s="14">
        <f>Z$5*((1+'User Inputs'!$E$9)^$B65)+Z$4*((1+'User Inputs'!$E$12)^$B65)</f>
        <v>1387103.756626206</v>
      </c>
      <c r="AA66" s="14">
        <f>AA$5*((1+'User Inputs'!$E$9)^$B65)+AA$4*((1+'User Inputs'!$E$12)^$B65)</f>
        <v>1914221.8158134643</v>
      </c>
      <c r="AB66" s="14">
        <f>AB$5*((1+'User Inputs'!$E$9)^$B65)+AB$4*((1+'User Inputs'!$E$12)^$B65)</f>
        <v>2149028.507205355</v>
      </c>
      <c r="AC66" s="14">
        <f>AC$5*((1+'User Inputs'!$E$9)^$B65)+AC$4*((1+'User Inputs'!$E$12)^$B65)</f>
        <v>2283709.7816900392</v>
      </c>
      <c r="AD66" s="14">
        <f>AD$5*((1+'User Inputs'!$E$9)^$B65)+AD$4*((1+'User Inputs'!$E$12)^$B65)</f>
        <v>2630707.7377973227</v>
      </c>
    </row>
    <row r="68" spans="1:30" ht="30" x14ac:dyDescent="0.25">
      <c r="A68" s="38" t="s">
        <v>151</v>
      </c>
      <c r="B68" s="34"/>
      <c r="C68" s="37"/>
      <c r="K68" s="38" t="s">
        <v>151</v>
      </c>
      <c r="L68" s="34"/>
      <c r="M68" s="37"/>
      <c r="U68" s="38" t="s">
        <v>151</v>
      </c>
      <c r="V68" s="34"/>
      <c r="W68" s="37"/>
    </row>
    <row r="69" spans="1:30" x14ac:dyDescent="0.25">
      <c r="A69" s="4" t="s">
        <v>42</v>
      </c>
      <c r="B69" s="33">
        <v>0</v>
      </c>
      <c r="C69" s="14">
        <f>0</f>
        <v>0</v>
      </c>
      <c r="D69" s="14">
        <f>0</f>
        <v>0</v>
      </c>
      <c r="E69" s="14">
        <f>0</f>
        <v>0</v>
      </c>
      <c r="F69" s="14">
        <f>0</f>
        <v>0</v>
      </c>
      <c r="G69" s="14">
        <f>0</f>
        <v>0</v>
      </c>
      <c r="H69" s="14">
        <f>0</f>
        <v>0</v>
      </c>
      <c r="I69" s="14">
        <f>0</f>
        <v>0</v>
      </c>
      <c r="J69" s="14">
        <f>0</f>
        <v>0</v>
      </c>
      <c r="K69" s="4" t="s">
        <v>42</v>
      </c>
      <c r="L69" s="33">
        <v>0</v>
      </c>
      <c r="M69" s="14">
        <f>0</f>
        <v>0</v>
      </c>
      <c r="N69" s="14">
        <f>0</f>
        <v>0</v>
      </c>
      <c r="O69" s="14">
        <f>0</f>
        <v>0</v>
      </c>
      <c r="P69" s="14">
        <f>0</f>
        <v>0</v>
      </c>
      <c r="Q69" s="14">
        <f>0</f>
        <v>0</v>
      </c>
      <c r="R69" s="14">
        <f>0</f>
        <v>0</v>
      </c>
      <c r="S69" s="14">
        <f>0</f>
        <v>0</v>
      </c>
      <c r="T69" s="14">
        <f>0</f>
        <v>0</v>
      </c>
      <c r="U69" s="4" t="s">
        <v>42</v>
      </c>
      <c r="V69" s="33">
        <v>0</v>
      </c>
      <c r="W69" s="14">
        <f>0</f>
        <v>0</v>
      </c>
      <c r="X69" s="14">
        <f>0</f>
        <v>0</v>
      </c>
      <c r="Y69" s="14">
        <f>0</f>
        <v>0</v>
      </c>
      <c r="Z69" s="14">
        <f>0</f>
        <v>0</v>
      </c>
      <c r="AA69" s="14">
        <f>0</f>
        <v>0</v>
      </c>
      <c r="AB69" s="14">
        <f>0</f>
        <v>0</v>
      </c>
      <c r="AC69" s="14">
        <f>0</f>
        <v>0</v>
      </c>
      <c r="AD69" s="14">
        <f>0</f>
        <v>0</v>
      </c>
    </row>
    <row r="70" spans="1:30" x14ac:dyDescent="0.25">
      <c r="A70" s="4" t="s">
        <v>42</v>
      </c>
      <c r="B70" s="33">
        <v>1</v>
      </c>
      <c r="C70" s="14">
        <f>C6+C8</f>
        <v>271776.38448275859</v>
      </c>
      <c r="D70" s="14">
        <f t="shared" ref="D70:J70" si="61">D6+D8</f>
        <v>265638.72164948453</v>
      </c>
      <c r="E70" s="14">
        <f t="shared" si="61"/>
        <v>317160.63041237113</v>
      </c>
      <c r="F70" s="14">
        <f t="shared" si="61"/>
        <v>218111.91999999998</v>
      </c>
      <c r="G70" s="14">
        <f t="shared" si="61"/>
        <v>271978.04218750005</v>
      </c>
      <c r="H70" s="14">
        <f t="shared" si="61"/>
        <v>229319.33124999999</v>
      </c>
      <c r="I70" s="14">
        <f t="shared" si="61"/>
        <v>310289.41428571427</v>
      </c>
      <c r="J70" s="14">
        <f t="shared" si="61"/>
        <v>254939.78285714285</v>
      </c>
      <c r="K70" s="4" t="s">
        <v>42</v>
      </c>
      <c r="L70" s="33">
        <v>1</v>
      </c>
      <c r="M70" s="14">
        <f t="shared" ref="M70:T70" si="62">M6+M8</f>
        <v>208487.56206896552</v>
      </c>
      <c r="N70" s="14">
        <f t="shared" si="62"/>
        <v>209939.36082474227</v>
      </c>
      <c r="O70" s="14">
        <f t="shared" si="62"/>
        <v>204369.42474226805</v>
      </c>
      <c r="P70" s="14">
        <f t="shared" si="62"/>
        <v>177703.15428571429</v>
      </c>
      <c r="Q70" s="14">
        <f t="shared" si="62"/>
        <v>184954.27187500001</v>
      </c>
      <c r="R70" s="14">
        <f t="shared" si="62"/>
        <v>181541.57500000001</v>
      </c>
      <c r="S70" s="14">
        <f t="shared" si="62"/>
        <v>179351.4</v>
      </c>
      <c r="T70" s="14">
        <f t="shared" si="62"/>
        <v>167754.53714285715</v>
      </c>
      <c r="U70" s="4" t="s">
        <v>42</v>
      </c>
      <c r="V70" s="33">
        <v>1</v>
      </c>
      <c r="W70" s="14">
        <f t="shared" ref="W70:AD70" si="63">W6+W8</f>
        <v>335065.20689655171</v>
      </c>
      <c r="X70" s="14">
        <f t="shared" si="63"/>
        <v>321338.08247422683</v>
      </c>
      <c r="Y70" s="14">
        <f t="shared" si="63"/>
        <v>429951.83608247421</v>
      </c>
      <c r="Z70" s="14">
        <f t="shared" si="63"/>
        <v>258520.6857142857</v>
      </c>
      <c r="AA70" s="14">
        <f t="shared" si="63"/>
        <v>359001.8125</v>
      </c>
      <c r="AB70" s="14">
        <f t="shared" si="63"/>
        <v>277097.08750000002</v>
      </c>
      <c r="AC70" s="14">
        <f t="shared" si="63"/>
        <v>441227.42857142858</v>
      </c>
      <c r="AD70" s="14">
        <f t="shared" si="63"/>
        <v>342125.0285714285</v>
      </c>
    </row>
    <row r="71" spans="1:30" x14ac:dyDescent="0.25">
      <c r="A71" s="4" t="s">
        <v>42</v>
      </c>
      <c r="B71" s="33">
        <v>2</v>
      </c>
      <c r="C71" s="14">
        <f>(C$6*(1+0.02*$B70)+C$8)*((1+'User Inputs'!$E$12)^$B70)</f>
        <v>279609.65441586205</v>
      </c>
      <c r="D71" s="14">
        <f>(D$6*(1+0.02*$B70)+D$8)*((1+'User Inputs'!$E$12)^$B70)</f>
        <v>273224.03000412369</v>
      </c>
      <c r="E71" s="14">
        <f>(E$6*(1+0.02*$B70)+E$8)*((1+'User Inputs'!$E$12)^$B70)</f>
        <v>326827.42388103093</v>
      </c>
      <c r="F71" s="14">
        <f>(F$6*(1+0.02*$B70)+F$8)*((1+'User Inputs'!$E$12)^$B70)</f>
        <v>223777.14556799998</v>
      </c>
      <c r="G71" s="14">
        <f>(G$6*(1+0.02*$B70)+G$8)*((1+'User Inputs'!$E$12)^$B70)</f>
        <v>279819.459091875</v>
      </c>
      <c r="H71" s="14">
        <f>(H$6*(1+0.02*$B70)+H$8)*((1+'User Inputs'!$E$12)^$B70)</f>
        <v>235437.33623249998</v>
      </c>
      <c r="I71" s="14">
        <f>(I$6*(1+0.02*$B70)+I$8)*((1+'User Inputs'!$E$12)^$B70)</f>
        <v>319678.61062285712</v>
      </c>
      <c r="J71" s="14">
        <f>(J$6*(1+0.02*$B70)+J$8)*((1+'User Inputs'!$E$12)^$B70)</f>
        <v>262092.85408457142</v>
      </c>
      <c r="K71" s="4" t="s">
        <v>42</v>
      </c>
      <c r="L71" s="33">
        <v>2</v>
      </c>
      <c r="M71" s="14">
        <f>(M$6*(1+0.02*$B70)+M$8)*((1+'User Inputs'!$E$12)^$B70)</f>
        <v>213763.96357655173</v>
      </c>
      <c r="N71" s="14">
        <f>(N$6*(1+0.02*$B70)+N$8)*((1+'User Inputs'!$E$12)^$B70)</f>
        <v>215274.41500206184</v>
      </c>
      <c r="O71" s="14">
        <f>(O$6*(1+0.02*$B70)+O$8)*((1+'User Inputs'!$E$12)^$B70)</f>
        <v>209479.45350185566</v>
      </c>
      <c r="P71" s="14">
        <f>(P$6*(1+0.02*$B70)+P$8)*((1+'User Inputs'!$E$12)^$B70)</f>
        <v>181735.86571885715</v>
      </c>
      <c r="Q71" s="14">
        <f>(Q$6*(1+0.02*$B70)+Q$8)*((1+'User Inputs'!$E$12)^$B70)</f>
        <v>189279.92845874999</v>
      </c>
      <c r="R71" s="14">
        <f>(R$6*(1+0.02*$B70)+R$8)*((1+'User Inputs'!$E$12)^$B70)</f>
        <v>185729.35863</v>
      </c>
      <c r="S71" s="14">
        <f>(S$6*(1+0.02*$B70)+S$8)*((1+'User Inputs'!$E$12)^$B70)</f>
        <v>183450.70056</v>
      </c>
      <c r="T71" s="14">
        <f>(T$6*(1+0.02*$B70)+T$8)*((1+'User Inputs'!$E$12)^$B70)</f>
        <v>171385.32444342857</v>
      </c>
      <c r="U71" s="4" t="s">
        <v>42</v>
      </c>
      <c r="V71" s="33">
        <v>2</v>
      </c>
      <c r="W71" s="14">
        <f>(W$6*(1+0.02*$B70)+W$8)*((1+'User Inputs'!$E$12)^$B70)</f>
        <v>345455.3452551724</v>
      </c>
      <c r="X71" s="14">
        <f>(X$6*(1+0.02*$B70)+X$8)*((1+'User Inputs'!$E$12)^$B70)</f>
        <v>331173.64500618551</v>
      </c>
      <c r="Y71" s="14">
        <f>(Y$6*(1+0.02*$B70)+Y$8)*((1+'User Inputs'!$E$12)^$B70)</f>
        <v>444175.39426020614</v>
      </c>
      <c r="Z71" s="14">
        <f>(Z$6*(1+0.02*$B70)+Z$8)*((1+'User Inputs'!$E$12)^$B70)</f>
        <v>265818.42541714286</v>
      </c>
      <c r="AA71" s="14">
        <f>(AA$6*(1+0.02*$B70)+AA$8)*((1+'User Inputs'!$E$12)^$B70)</f>
        <v>370358.98972500011</v>
      </c>
      <c r="AB71" s="14">
        <f>(AB$6*(1+0.02*$B70)+AB$8)*((1+'User Inputs'!$E$12)^$B70)</f>
        <v>285145.31383499998</v>
      </c>
      <c r="AC71" s="14">
        <f>(AC$6*(1+0.02*$B70)+AC$8)*((1+'User Inputs'!$E$12)^$B70)</f>
        <v>455906.52068571432</v>
      </c>
      <c r="AD71" s="14">
        <f>(AD$6*(1+0.02*$B70)+AD$8)*((1+'User Inputs'!$E$12)^$B70)</f>
        <v>352800.38372571429</v>
      </c>
    </row>
    <row r="72" spans="1:30" x14ac:dyDescent="0.25">
      <c r="A72" s="4" t="s">
        <v>42</v>
      </c>
      <c r="B72" s="33">
        <v>3</v>
      </c>
      <c r="C72" s="14">
        <f>(C$6*(1+0.02*$B71)+C$8)*((1+'User Inputs'!$E$12)^$B71)</f>
        <v>287647.54459249659</v>
      </c>
      <c r="D72" s="14">
        <f>(D$6*(1+0.02*$B71)+D$8)*((1+'User Inputs'!$E$12)^$B71)</f>
        <v>281006.49520428869</v>
      </c>
      <c r="E72" s="14">
        <f>(E$6*(1+0.02*$B71)+E$8)*((1+'User Inputs'!$E$12)^$B71)</f>
        <v>336754.02483627218</v>
      </c>
      <c r="F72" s="14">
        <f>(F$6*(1+0.02*$B71)+F$8)*((1+'User Inputs'!$E$12)^$B71)</f>
        <v>229581.73539071999</v>
      </c>
      <c r="G72" s="14">
        <f>(G$6*(1+0.02*$B71)+G$8)*((1+'User Inputs'!$E$12)^$B71)</f>
        <v>287865.74145555001</v>
      </c>
      <c r="H72" s="14">
        <f>(H$6*(1+0.02*$B71)+H$8)*((1+'User Inputs'!$E$12)^$B71)</f>
        <v>241708.3336818</v>
      </c>
      <c r="I72" s="14">
        <f>(I$6*(1+0.02*$B71)+I$8)*((1+'User Inputs'!$E$12)^$B71)</f>
        <v>329319.25904777145</v>
      </c>
      <c r="J72" s="14">
        <f>(J$6*(1+0.02*$B71)+J$8)*((1+'User Inputs'!$E$12)^$B71)</f>
        <v>269430.07224795426</v>
      </c>
      <c r="K72" s="4" t="s">
        <v>42</v>
      </c>
      <c r="L72" s="33">
        <v>3</v>
      </c>
      <c r="M72" s="14">
        <f>(M$6*(1+0.02*$B71)+M$8)*((1+'User Inputs'!$E$12)^$B71)</f>
        <v>219168.02611961379</v>
      </c>
      <c r="N72" s="14">
        <f>(N$6*(1+0.02*$B71)+N$8)*((1+'User Inputs'!$E$12)^$B71)</f>
        <v>220738.89560214433</v>
      </c>
      <c r="O72" s="14">
        <f>(O$6*(1+0.02*$B71)+O$8)*((1+'User Inputs'!$E$12)^$B71)</f>
        <v>214712.1356419299</v>
      </c>
      <c r="P72" s="14">
        <f>(P$6*(1+0.02*$B71)+P$8)*((1+'User Inputs'!$E$12)^$B71)</f>
        <v>185858.80434761141</v>
      </c>
      <c r="Q72" s="14">
        <f>(Q$6*(1+0.02*$B71)+Q$8)*((1+'User Inputs'!$E$12)^$B71)</f>
        <v>193704.62959710002</v>
      </c>
      <c r="R72" s="14">
        <f>(R$6*(1+0.02*$B71)+R$8)*((1+'User Inputs'!$E$12)^$B71)</f>
        <v>190012.0369752</v>
      </c>
      <c r="S72" s="14">
        <f>(S$6*(1+0.02*$B71)+S$8)*((1+'User Inputs'!$E$12)^$B71)</f>
        <v>187642.2325824</v>
      </c>
      <c r="T72" s="14">
        <f>(T$6*(1+0.02*$B71)+T$8)*((1+'User Inputs'!$E$12)^$B71)</f>
        <v>175094.2414211657</v>
      </c>
      <c r="U72" s="4" t="s">
        <v>42</v>
      </c>
      <c r="V72" s="33">
        <v>3</v>
      </c>
      <c r="W72" s="14">
        <f>(W$6*(1+0.02*$B71)+W$8)*((1+'User Inputs'!$E$12)^$B71)</f>
        <v>356127.06306537933</v>
      </c>
      <c r="X72" s="14">
        <f>(X$6*(1+0.02*$B71)+X$8)*((1+'User Inputs'!$E$12)^$B71)</f>
        <v>341274.09480643302</v>
      </c>
      <c r="Y72" s="14">
        <f>(Y$6*(1+0.02*$B71)+Y$8)*((1+'User Inputs'!$E$12)^$B71)</f>
        <v>458795.91403061437</v>
      </c>
      <c r="Z72" s="14">
        <f>(Z$6*(1+0.02*$B71)+Z$8)*((1+'User Inputs'!$E$12)^$B71)</f>
        <v>273304.66643382859</v>
      </c>
      <c r="AA72" s="14">
        <f>(AA$6*(1+0.02*$B71)+AA$8)*((1+'User Inputs'!$E$12)^$B71)</f>
        <v>382026.85331400001</v>
      </c>
      <c r="AB72" s="14">
        <f>(AB$6*(1+0.02*$B71)+AB$8)*((1+'User Inputs'!$E$12)^$B71)</f>
        <v>293404.63038840005</v>
      </c>
      <c r="AC72" s="14">
        <f>(AC$6*(1+0.02*$B71)+AC$8)*((1+'User Inputs'!$E$12)^$B71)</f>
        <v>470996.28551314288</v>
      </c>
      <c r="AD72" s="14">
        <f>(AD$6*(1+0.02*$B71)+AD$8)*((1+'User Inputs'!$E$12)^$B71)</f>
        <v>363765.90307474276</v>
      </c>
    </row>
    <row r="73" spans="1:30" x14ac:dyDescent="0.25">
      <c r="A73" s="4" t="s">
        <v>42</v>
      </c>
      <c r="B73" s="33">
        <v>4</v>
      </c>
      <c r="C73" s="14">
        <f>(C$6*(1+0.02*$B72)+C$8)*((1+'User Inputs'!$E$12)^$B72)</f>
        <v>295895.10651443008</v>
      </c>
      <c r="D73" s="14">
        <f>(D$6*(1+0.02*$B72)+D$8)*((1+'User Inputs'!$E$12)^$B72)</f>
        <v>288990.96940045856</v>
      </c>
      <c r="E73" s="14">
        <f>(E$6*(1+0.02*$B72)+E$8)*((1+'User Inputs'!$E$12)^$B72)</f>
        <v>346946.95886017062</v>
      </c>
      <c r="F73" s="14">
        <f>(F$6*(1+0.02*$B72)+F$8)*((1+'User Inputs'!$E$12)^$B72)</f>
        <v>235528.99794812157</v>
      </c>
      <c r="G73" s="14">
        <f>(G$6*(1+0.02*$B72)+G$8)*((1+'User Inputs'!$E$12)^$B72)</f>
        <v>296121.94733013527</v>
      </c>
      <c r="H73" s="14">
        <f>(H$6*(1+0.02*$B72)+H$8)*((1+'User Inputs'!$E$12)^$B72)</f>
        <v>248135.99609457899</v>
      </c>
      <c r="I73" s="14">
        <f>(I$6*(1+0.02*$B72)+I$8)*((1+'User Inputs'!$E$12)^$B72)</f>
        <v>339217.66196543316</v>
      </c>
      <c r="J73" s="14">
        <f>(J$6*(1+0.02*$B72)+J$8)*((1+'User Inputs'!$E$12)^$B72)</f>
        <v>276955.9419962386</v>
      </c>
      <c r="K73" s="4" t="s">
        <v>42</v>
      </c>
      <c r="L73" s="33">
        <v>4</v>
      </c>
      <c r="M73" s="14">
        <f>(M$6*(1+0.02*$B72)+M$8)*((1+'User Inputs'!$E$12)^$B72)</f>
        <v>224702.7455789677</v>
      </c>
      <c r="N73" s="14">
        <f>(N$6*(1+0.02*$B72)+N$8)*((1+'User Inputs'!$E$12)^$B72)</f>
        <v>226335.84566022927</v>
      </c>
      <c r="O73" s="14">
        <f>(O$6*(1+0.02*$B72)+O$8)*((1+'User Inputs'!$E$12)^$B72)</f>
        <v>220070.33328620633</v>
      </c>
      <c r="P73" s="14">
        <f>(P$6*(1+0.02*$B72)+P$8)*((1+'User Inputs'!$E$12)^$B72)</f>
        <v>190073.96617522833</v>
      </c>
      <c r="Q73" s="14">
        <f>(Q$6*(1+0.02*$B72)+Q$8)*((1+'User Inputs'!$E$12)^$B72)</f>
        <v>198230.60680960049</v>
      </c>
      <c r="R73" s="14">
        <f>(R$6*(1+0.02*$B72)+R$8)*((1+'User Inputs'!$E$12)^$B72)</f>
        <v>194391.730710756</v>
      </c>
      <c r="S73" s="14">
        <f>(S$6*(1+0.02*$B72)+S$8)*((1+'User Inputs'!$E$12)^$B72)</f>
        <v>191928.045605472</v>
      </c>
      <c r="T73" s="14">
        <f>(T$6*(1+0.02*$B72)+T$8)*((1+'User Inputs'!$E$12)^$B72)</f>
        <v>178882.96094823495</v>
      </c>
      <c r="U73" s="4" t="s">
        <v>42</v>
      </c>
      <c r="V73" s="33">
        <v>4</v>
      </c>
      <c r="W73" s="14">
        <f>(W$6*(1+0.02*$B72)+W$8)*((1+'User Inputs'!$E$12)^$B72)</f>
        <v>367087.46744989231</v>
      </c>
      <c r="X73" s="14">
        <f>(X$6*(1+0.02*$B72)+X$8)*((1+'User Inputs'!$E$12)^$B72)</f>
        <v>351646.09314068779</v>
      </c>
      <c r="Y73" s="14">
        <f>(Y$6*(1+0.02*$B72)+Y$8)*((1+'User Inputs'!$E$12)^$B72)</f>
        <v>473823.58443413489</v>
      </c>
      <c r="Z73" s="14">
        <f>(Z$6*(1+0.02*$B72)+Z$8)*((1+'User Inputs'!$E$12)^$B72)</f>
        <v>280984.02972101478</v>
      </c>
      <c r="AA73" s="14">
        <f>(AA$6*(1+0.02*$B72)+AA$8)*((1+'User Inputs'!$E$12)^$B72)</f>
        <v>394013.28785067005</v>
      </c>
      <c r="AB73" s="14">
        <f>(AB$6*(1+0.02*$B72)+AB$8)*((1+'User Inputs'!$E$12)^$B72)</f>
        <v>301880.26147840195</v>
      </c>
      <c r="AC73" s="14">
        <f>(AC$6*(1+0.02*$B72)+AC$8)*((1+'User Inputs'!$E$12)^$B72)</f>
        <v>486507.27832539426</v>
      </c>
      <c r="AD73" s="14">
        <f>(AD$6*(1+0.02*$B72)+AD$8)*((1+'User Inputs'!$E$12)^$B72)</f>
        <v>375028.92304424226</v>
      </c>
    </row>
    <row r="74" spans="1:30" x14ac:dyDescent="0.25">
      <c r="A74" s="4" t="s">
        <v>42</v>
      </c>
      <c r="B74" s="33">
        <v>5</v>
      </c>
      <c r="C74" s="14">
        <f>(C$6*(1+0.02*$B73)+C$8)*((1+'User Inputs'!$E$12)^$B73)</f>
        <v>304357.51189540391</v>
      </c>
      <c r="D74" s="14">
        <f>(D$6*(1+0.02*$B73)+D$8)*((1+'User Inputs'!$E$12)^$B73)</f>
        <v>297182.41996639356</v>
      </c>
      <c r="E74" s="14">
        <f>(E$6*(1+0.02*$B73)+E$8)*((1+'User Inputs'!$E$12)^$B73)</f>
        <v>357412.90863509057</v>
      </c>
      <c r="F74" s="14">
        <f>(F$6*(1+0.02*$B73)+F$8)*((1+'User Inputs'!$E$12)^$B73)</f>
        <v>241622.31831366295</v>
      </c>
      <c r="G74" s="14">
        <f>(G$6*(1+0.02*$B73)+G$8)*((1+'User Inputs'!$E$12)^$B73)</f>
        <v>304593.25514312176</v>
      </c>
      <c r="H74" s="14">
        <f>(H$6*(1+0.02*$B73)+H$8)*((1+'User Inputs'!$E$12)^$B73)</f>
        <v>254724.08167039644</v>
      </c>
      <c r="I74" s="14">
        <f>(I$6*(1+0.02*$B73)+I$8)*((1+'User Inputs'!$E$12)^$B73)</f>
        <v>349380.27329618222</v>
      </c>
      <c r="J74" s="14">
        <f>(J$6*(1+0.02*$B73)+J$8)*((1+'User Inputs'!$E$12)^$B73)</f>
        <v>284675.07450555515</v>
      </c>
      <c r="K74" s="4" t="s">
        <v>42</v>
      </c>
      <c r="L74" s="33">
        <v>5</v>
      </c>
      <c r="M74" s="14">
        <f>(M$6*(1+0.02*$B73)+M$8)*((1+'User Inputs'!$E$12)^$B73)</f>
        <v>230371.18660624797</v>
      </c>
      <c r="N74" s="14">
        <f>(N$6*(1+0.02*$B73)+N$8)*((1+'User Inputs'!$E$12)^$B73)</f>
        <v>232068.37816239675</v>
      </c>
      <c r="O74" s="14">
        <f>(O$6*(1+0.02*$B73)+O$8)*((1+'User Inputs'!$E$12)^$B73)</f>
        <v>225556.97398199709</v>
      </c>
      <c r="P74" s="14">
        <f>(P$6*(1+0.02*$B73)+P$8)*((1+'User Inputs'!$E$12)^$B73)</f>
        <v>194383.39095421089</v>
      </c>
      <c r="Q74" s="14">
        <f>(Q$6*(1+0.02*$B73)+Q$8)*((1+'User Inputs'!$E$12)^$B73)</f>
        <v>202860.14125876216</v>
      </c>
      <c r="R74" s="14">
        <f>(R$6*(1+0.02*$B73)+R$8)*((1+'User Inputs'!$E$12)^$B73)</f>
        <v>198870.60738094416</v>
      </c>
      <c r="S74" s="14">
        <f>(S$6*(1+0.02*$B73)+S$8)*((1+'User Inputs'!$E$12)^$B73)</f>
        <v>196310.23425643393</v>
      </c>
      <c r="T74" s="14">
        <f>(T$6*(1+0.02*$B73)+T$8)*((1+'User Inputs'!$E$12)^$B73)</f>
        <v>182753.19155981854</v>
      </c>
      <c r="U74" s="4" t="s">
        <v>42</v>
      </c>
      <c r="V74" s="33">
        <v>5</v>
      </c>
      <c r="W74" s="14">
        <f>(W$6*(1+0.02*$B73)+W$8)*((1+'User Inputs'!$E$12)^$B73)</f>
        <v>378343.83718455984</v>
      </c>
      <c r="X74" s="14">
        <f>(X$6*(1+0.02*$B73)+X$8)*((1+'User Inputs'!$E$12)^$B73)</f>
        <v>362296.46177039028</v>
      </c>
      <c r="Y74" s="14">
        <f>(Y$6*(1+0.02*$B73)+Y$8)*((1+'User Inputs'!$E$12)^$B73)</f>
        <v>489268.84328818397</v>
      </c>
      <c r="Z74" s="14">
        <f>(Z$6*(1+0.02*$B73)+Z$8)*((1+'User Inputs'!$E$12)^$B73)</f>
        <v>288861.24567311507</v>
      </c>
      <c r="AA74" s="14">
        <f>(AA$6*(1+0.02*$B73)+AA$8)*((1+'User Inputs'!$E$12)^$B73)</f>
        <v>406326.36902748124</v>
      </c>
      <c r="AB74" s="14">
        <f>(AB$6*(1+0.02*$B73)+AB$8)*((1+'User Inputs'!$E$12)^$B73)</f>
        <v>310577.55595984875</v>
      </c>
      <c r="AC74" s="14">
        <f>(AC$6*(1+0.02*$B73)+AC$8)*((1+'User Inputs'!$E$12)^$B73)</f>
        <v>502450.31233593053</v>
      </c>
      <c r="AD74" s="14">
        <f>(AD$6*(1+0.02*$B73)+AD$8)*((1+'User Inputs'!$E$12)^$B73)</f>
        <v>386596.95745129173</v>
      </c>
    </row>
    <row r="75" spans="1:30" x14ac:dyDescent="0.25">
      <c r="A75" s="4" t="s">
        <v>42</v>
      </c>
      <c r="B75" s="33">
        <v>6</v>
      </c>
      <c r="C75" s="14">
        <f>(C$6*(1+0.02*$B74)+C$8)*((1+'User Inputs'!$E$12)^$B74)</f>
        <v>313040.05544901098</v>
      </c>
      <c r="D75" s="14">
        <f>(D$6*(1+0.02*$B74)+D$8)*((1+'User Inputs'!$E$12)^$B74)</f>
        <v>305585.93216720573</v>
      </c>
      <c r="E75" s="14">
        <f>(E$6*(1+0.02*$B74)+E$8)*((1+'User Inputs'!$E$12)^$B74)</f>
        <v>368158.7176174632</v>
      </c>
      <c r="F75" s="14">
        <f>(F$6*(1+0.02*$B74)+F$8)*((1+'User Inputs'!$E$12)^$B74)</f>
        <v>247865.15989464676</v>
      </c>
      <c r="G75" s="14">
        <f>(G$6*(1+0.02*$B74)+G$8)*((1+'User Inputs'!$E$12)^$B74)</f>
        <v>313284.96648969559</v>
      </c>
      <c r="H75" s="14">
        <f>(H$6*(1+0.02*$B74)+H$8)*((1+'User Inputs'!$E$12)^$B74)</f>
        <v>261476.43627080877</v>
      </c>
      <c r="I75" s="14">
        <f>(I$6*(1+0.02*$B74)+I$8)*((1+'User Inputs'!$E$12)^$B74)</f>
        <v>359813.70201537514</v>
      </c>
      <c r="J75" s="14">
        <f>(J$6*(1+0.02*$B74)+J$8)*((1+'User Inputs'!$E$12)^$B74)</f>
        <v>292592.18993844587</v>
      </c>
      <c r="K75" s="4" t="s">
        <v>42</v>
      </c>
      <c r="L75" s="33">
        <v>6</v>
      </c>
      <c r="M75" s="14">
        <f>(M$6*(1+0.02*$B74)+M$8)*((1+'User Inputs'!$E$12)^$B74)</f>
        <v>236176.48417638786</v>
      </c>
      <c r="N75" s="14">
        <f>(N$6*(1+0.02*$B74)+N$8)*((1+'User Inputs'!$E$12)^$B74)</f>
        <v>237939.67762638687</v>
      </c>
      <c r="O75" s="14">
        <f>(O$6*(1+0.02*$B74)+O$8)*((1+'User Inputs'!$E$12)^$B74)</f>
        <v>231175.052172305</v>
      </c>
      <c r="P75" s="14">
        <f>(P$6*(1+0.02*$B74)+P$8)*((1+'User Inputs'!$E$12)^$B74)</f>
        <v>198789.16313788266</v>
      </c>
      <c r="Q75" s="14">
        <f>(Q$6*(1+0.02*$B74)+Q$8)*((1+'User Inputs'!$E$12)^$B74)</f>
        <v>207595.5648431665</v>
      </c>
      <c r="R75" s="14">
        <f>(R$6*(1+0.02*$B74)+R$8)*((1+'User Inputs'!$E$12)^$B74)</f>
        <v>203450.88242565555</v>
      </c>
      <c r="S75" s="14">
        <f>(S$6*(1+0.02*$B74)+S$8)*((1+'User Inputs'!$E$12)^$B74)</f>
        <v>200790.93923519214</v>
      </c>
      <c r="T75" s="14">
        <f>(T$6*(1+0.02*$B74)+T$8)*((1+'User Inputs'!$E$12)^$B74)</f>
        <v>186706.67821148617</v>
      </c>
      <c r="U75" s="4" t="s">
        <v>42</v>
      </c>
      <c r="V75" s="33">
        <v>6</v>
      </c>
      <c r="W75" s="14">
        <f>(W$6*(1+0.02*$B74)+W$8)*((1+'User Inputs'!$E$12)^$B74)</f>
        <v>389903.62672163406</v>
      </c>
      <c r="X75" s="14">
        <f>(X$6*(1+0.02*$B74)+X$8)*((1+'User Inputs'!$E$12)^$B74)</f>
        <v>373232.18670802464</v>
      </c>
      <c r="Y75" s="14">
        <f>(Y$6*(1+0.02*$B74)+Y$8)*((1+'User Inputs'!$E$12)^$B74)</f>
        <v>505142.3830626214</v>
      </c>
      <c r="Z75" s="14">
        <f>(Z$6*(1+0.02*$B74)+Z$8)*((1+'User Inputs'!$E$12)^$B74)</f>
        <v>296941.1566514108</v>
      </c>
      <c r="AA75" s="14">
        <f>(AA$6*(1+0.02*$B74)+AA$8)*((1+'User Inputs'!$E$12)^$B74)</f>
        <v>418974.36813622463</v>
      </c>
      <c r="AB75" s="14">
        <f>(AB$6*(1+0.02*$B74)+AB$8)*((1+'User Inputs'!$E$12)^$B74)</f>
        <v>319501.99011596199</v>
      </c>
      <c r="AC75" s="14">
        <f>(AC$6*(1+0.02*$B74)+AC$8)*((1+'User Inputs'!$E$12)^$B74)</f>
        <v>518836.46479555807</v>
      </c>
      <c r="AD75" s="14">
        <f>(AD$6*(1+0.02*$B74)+AD$8)*((1+'User Inputs'!$E$12)^$B74)</f>
        <v>398477.70166540553</v>
      </c>
    </row>
    <row r="76" spans="1:30" x14ac:dyDescent="0.25">
      <c r="A76" s="4" t="s">
        <v>42</v>
      </c>
      <c r="B76" s="33">
        <v>7</v>
      </c>
      <c r="C76" s="14">
        <f>(C$6*(1+0.02*$B75)+C$8)*((1+'User Inputs'!$E$12)^$B75)</f>
        <v>321948.15774000413</v>
      </c>
      <c r="D76" s="14">
        <f>(D$6*(1+0.02*$B75)+D$8)*((1+'User Inputs'!$E$12)^$B75)</f>
        <v>314206.71188806387</v>
      </c>
      <c r="E76" s="14">
        <f>(E$6*(1+0.02*$B75)+E$8)*((1+'User Inputs'!$E$12)^$B75)</f>
        <v>379191.3937956767</v>
      </c>
      <c r="F76" s="14">
        <f>(F$6*(1+0.02*$B75)+F$8)*((1+'User Inputs'!$E$12)^$B75)</f>
        <v>254261.06621154444</v>
      </c>
      <c r="G76" s="14">
        <f>(G$6*(1+0.02*$B75)+G$8)*((1+'User Inputs'!$E$12)^$B75)</f>
        <v>322202.50898807507</v>
      </c>
      <c r="H76" s="14">
        <f>(H$6*(1+0.02*$B75)+H$8)*((1+'User Inputs'!$E$12)^$B75)</f>
        <v>268396.99542256945</v>
      </c>
      <c r="I76" s="14">
        <f>(I$6*(1+0.02*$B75)+I$8)*((1+'User Inputs'!$E$12)^$B75)</f>
        <v>370524.71577401727</v>
      </c>
      <c r="J76" s="14">
        <f>(J$6*(1+0.02*$B75)+J$8)*((1+'User Inputs'!$E$12)^$B75)</f>
        <v>300712.11995884997</v>
      </c>
      <c r="K76" s="4" t="s">
        <v>42</v>
      </c>
      <c r="L76" s="33">
        <v>7</v>
      </c>
      <c r="M76" s="14">
        <f>(M$6*(1+0.02*$B75)+M$8)*((1+'User Inputs'!$E$12)^$B75)</f>
        <v>242121.84517469082</v>
      </c>
      <c r="N76" s="14">
        <f>(N$6*(1+0.02*$B75)+N$8)*((1+'User Inputs'!$E$12)^$B75)</f>
        <v>243953.00171767164</v>
      </c>
      <c r="O76" s="14">
        <f>(O$6*(1+0.02*$B75)+O$8)*((1+'User Inputs'!$E$12)^$B75)</f>
        <v>236927.63070063241</v>
      </c>
      <c r="P76" s="14">
        <f>(P$6*(1+0.02*$B75)+P$8)*((1+'User Inputs'!$E$12)^$B75)</f>
        <v>203293.4128525196</v>
      </c>
      <c r="Q76" s="14">
        <f>(Q$6*(1+0.02*$B75)+Q$8)*((1+'User Inputs'!$E$12)^$B75)</f>
        <v>212439.26131444349</v>
      </c>
      <c r="R76" s="14">
        <f>(R$6*(1+0.02*$B75)+R$8)*((1+'User Inputs'!$E$12)^$B75)</f>
        <v>208134.820229203</v>
      </c>
      <c r="S76" s="14">
        <f>(S$6*(1+0.02*$B75)+S$8)*((1+'User Inputs'!$E$12)^$B75)</f>
        <v>205372.34831939812</v>
      </c>
      <c r="T76" s="14">
        <f>(T$6*(1+0.02*$B75)+T$8)*((1+'User Inputs'!$E$12)^$B75)</f>
        <v>190745.20305259654</v>
      </c>
      <c r="U76" s="4" t="s">
        <v>42</v>
      </c>
      <c r="V76" s="33">
        <v>7</v>
      </c>
      <c r="W76" s="14">
        <f>(W$6*(1+0.02*$B75)+W$8)*((1+'User Inputs'!$E$12)^$B75)</f>
        <v>401774.47030531749</v>
      </c>
      <c r="X76" s="14">
        <f>(X$6*(1+0.02*$B75)+X$8)*((1+'User Inputs'!$E$12)^$B75)</f>
        <v>384460.42205845611</v>
      </c>
      <c r="Y76" s="14">
        <f>(Y$6*(1+0.02*$B75)+Y$8)*((1+'User Inputs'!$E$12)^$B75)</f>
        <v>521455.156890721</v>
      </c>
      <c r="Z76" s="14">
        <f>(Z$6*(1+0.02*$B75)+Z$8)*((1+'User Inputs'!$E$12)^$B75)</f>
        <v>305228.71957056929</v>
      </c>
      <c r="AA76" s="14">
        <f>(AA$6*(1+0.02*$B75)+AA$8)*((1+'User Inputs'!$E$12)^$B75)</f>
        <v>431965.75666170684</v>
      </c>
      <c r="AB76" s="14">
        <f>(AB$6*(1+0.02*$B75)+AB$8)*((1+'User Inputs'!$E$12)^$B75)</f>
        <v>328659.17061593581</v>
      </c>
      <c r="AC76" s="14">
        <f>(AC$6*(1+0.02*$B75)+AC$8)*((1+'User Inputs'!$E$12)^$B75)</f>
        <v>535677.08322863642</v>
      </c>
      <c r="AD76" s="14">
        <f>(AD$6*(1+0.02*$B75)+AD$8)*((1+'User Inputs'!$E$12)^$B75)</f>
        <v>410679.03686510341</v>
      </c>
    </row>
    <row r="77" spans="1:30" x14ac:dyDescent="0.25">
      <c r="A77" s="4" t="s">
        <v>42</v>
      </c>
      <c r="B77" s="33">
        <v>8</v>
      </c>
      <c r="C77" s="14">
        <f>(C$6*(1+0.02*$B76)+C$8)*((1+'User Inputs'!$E$12)^$B76)</f>
        <v>331087.36810045742</v>
      </c>
      <c r="D77" s="14">
        <f>(D$6*(1+0.02*$B76)+D$8)*((1+'User Inputs'!$E$12)^$B76)</f>
        <v>323050.08842488943</v>
      </c>
      <c r="E77" s="14">
        <f>(E$6*(1+0.02*$B76)+E$8)*((1+'User Inputs'!$E$12)^$B76)</f>
        <v>390518.11353397166</v>
      </c>
      <c r="F77" s="14">
        <f>(F$6*(1+0.02*$B76)+F$8)*((1+'User Inputs'!$E$12)^$B76)</f>
        <v>260813.6627171601</v>
      </c>
      <c r="G77" s="14">
        <f>(G$6*(1+0.02*$B76)+G$8)*((1+'User Inputs'!$E$12)^$B76)</f>
        <v>331351.43919979391</v>
      </c>
      <c r="H77" s="14">
        <f>(H$6*(1+0.02*$B76)+H$8)*((1+'User Inputs'!$E$12)^$B76)</f>
        <v>275489.7863658921</v>
      </c>
      <c r="I77" s="14">
        <f>(I$6*(1+0.02*$B76)+I$8)*((1+'User Inputs'!$E$12)^$B76)</f>
        <v>381520.24460219883</v>
      </c>
      <c r="J77" s="14">
        <f>(J$6*(1+0.02*$B76)+J$8)*((1+'User Inputs'!$E$12)^$B76)</f>
        <v>309039.8103040948</v>
      </c>
      <c r="K77" s="4" t="s">
        <v>42</v>
      </c>
      <c r="L77" s="33">
        <v>8</v>
      </c>
      <c r="M77" s="14">
        <f>(M$6*(1+0.02*$B76)+M$8)*((1+'User Inputs'!$E$12)^$B76)</f>
        <v>248210.55001925529</v>
      </c>
      <c r="N77" s="14">
        <f>(N$6*(1+0.02*$B76)+N$8)*((1+'User Inputs'!$E$12)^$B76)</f>
        <v>250111.68290155716</v>
      </c>
      <c r="O77" s="14">
        <f>(O$6*(1+0.02*$B76)+O$8)*((1+'User Inputs'!$E$12)^$B76)</f>
        <v>242817.84234922391</v>
      </c>
      <c r="P77" s="14">
        <f>(P$6*(1+0.02*$B76)+P$8)*((1+'User Inputs'!$E$12)^$B76)</f>
        <v>207898.31689048681</v>
      </c>
      <c r="Q77" s="14">
        <f>(Q$6*(1+0.02*$B76)+Q$8)*((1+'User Inputs'!$E$12)^$B76)</f>
        <v>217393.66741863423</v>
      </c>
      <c r="R77" s="14">
        <f>(R$6*(1+0.02*$B76)+R$8)*((1+'User Inputs'!$E$12)^$B76)</f>
        <v>212924.73519192208</v>
      </c>
      <c r="S77" s="14">
        <f>(S$6*(1+0.02*$B76)+S$8)*((1+'User Inputs'!$E$12)^$B76)</f>
        <v>210056.69739127817</v>
      </c>
      <c r="T77" s="14">
        <f>(T$6*(1+0.02*$B76)+T$8)*((1+'User Inputs'!$E$12)^$B76)</f>
        <v>194870.5862160667</v>
      </c>
      <c r="U77" s="4" t="s">
        <v>42</v>
      </c>
      <c r="V77" s="33">
        <v>8</v>
      </c>
      <c r="W77" s="14">
        <f>(W$6*(1+0.02*$B76)+W$8)*((1+'User Inputs'!$E$12)^$B76)</f>
        <v>413964.1861816594</v>
      </c>
      <c r="X77" s="14">
        <f>(X$6*(1+0.02*$B76)+X$8)*((1+'User Inputs'!$E$12)^$B76)</f>
        <v>395988.49394822161</v>
      </c>
      <c r="Y77" s="14">
        <f>(Y$6*(1+0.02*$B76)+Y$8)*((1+'User Inputs'!$E$12)^$B76)</f>
        <v>538218.38471871952</v>
      </c>
      <c r="Z77" s="14">
        <f>(Z$6*(1+0.02*$B76)+Z$8)*((1+'User Inputs'!$E$12)^$B76)</f>
        <v>313729.00854383333</v>
      </c>
      <c r="AA77" s="14">
        <f>(AA$6*(1+0.02*$B76)+AA$8)*((1+'User Inputs'!$E$12)^$B76)</f>
        <v>445309.21098095359</v>
      </c>
      <c r="AB77" s="14">
        <f>(AB$6*(1+0.02*$B76)+AB$8)*((1+'User Inputs'!$E$12)^$B76)</f>
        <v>338054.83753986214</v>
      </c>
      <c r="AC77" s="14">
        <f>(AC$6*(1+0.02*$B76)+AC$8)*((1+'User Inputs'!$E$12)^$B76)</f>
        <v>552983.79181311943</v>
      </c>
      <c r="AD77" s="14">
        <f>(AD$6*(1+0.02*$B76)+AD$8)*((1+'User Inputs'!$E$12)^$B76)</f>
        <v>423209.03439212288</v>
      </c>
    </row>
    <row r="78" spans="1:30" x14ac:dyDescent="0.25">
      <c r="A78" s="4" t="s">
        <v>42</v>
      </c>
      <c r="B78" s="33">
        <v>9</v>
      </c>
      <c r="C78" s="14">
        <f>(C$6*(1+0.02*$B77)+C$8)*((1+'User Inputs'!$E$12)^$B77)</f>
        <v>340463.3676122328</v>
      </c>
      <c r="D78" s="14">
        <f>(D$6*(1+0.02*$B77)+D$8)*((1+'User Inputs'!$E$12)^$B77)</f>
        <v>332121.51733843272</v>
      </c>
      <c r="E78" s="14">
        <f>(E$6*(1+0.02*$B77)+E$8)*((1+'User Inputs'!$E$12)^$B77)</f>
        <v>402146.2255042803</v>
      </c>
      <c r="F78" s="14">
        <f>(F$6*(1+0.02*$B77)+F$8)*((1+'User Inputs'!$E$12)^$B77)</f>
        <v>267526.65865651582</v>
      </c>
      <c r="G78" s="14">
        <f>(G$6*(1+0.02*$B77)+G$8)*((1+'User Inputs'!$E$12)^$B77)</f>
        <v>340737.44561638631</v>
      </c>
      <c r="H78" s="14">
        <f>(H$6*(1+0.02*$B77)+H$8)*((1+'User Inputs'!$E$12)^$B77)</f>
        <v>282758.93014877877</v>
      </c>
      <c r="I78" s="14">
        <f>(I$6*(1+0.02*$B77)+I$8)*((1+'User Inputs'!$E$12)^$B77)</f>
        <v>392807.38469719811</v>
      </c>
      <c r="J78" s="14">
        <f>(J$6*(1+0.02*$B77)+J$8)*((1+'User Inputs'!$E$12)^$B77)</f>
        <v>317580.323415166</v>
      </c>
      <c r="K78" s="4" t="s">
        <v>42</v>
      </c>
      <c r="L78" s="33">
        <v>9</v>
      </c>
      <c r="M78" s="14">
        <f>(M$6*(1+0.02*$B77)+M$8)*((1+'User Inputs'!$E$12)^$B77)</f>
        <v>254445.95431953252</v>
      </c>
      <c r="N78" s="14">
        <f>(N$6*(1+0.02*$B77)+N$8)*((1+'User Inputs'!$E$12)^$B77)</f>
        <v>256419.13013211108</v>
      </c>
      <c r="O78" s="14">
        <f>(O$6*(1+0.02*$B77)+O$8)*((1+'User Inputs'!$E$12)^$B77)</f>
        <v>248848.89141147892</v>
      </c>
      <c r="P78" s="14">
        <f>(P$6*(1+0.02*$B77)+P$8)*((1+'User Inputs'!$E$12)^$B77)</f>
        <v>212606.09972483179</v>
      </c>
      <c r="Q78" s="14">
        <f>(Q$6*(1+0.02*$B77)+Q$8)*((1+'User Inputs'!$E$12)^$B77)</f>
        <v>222461.27406246687</v>
      </c>
      <c r="R78" s="14">
        <f>(R$6*(1+0.02*$B77)+R$8)*((1+'User Inputs'!$E$12)^$B77)</f>
        <v>217822.99282505826</v>
      </c>
      <c r="S78" s="14">
        <f>(S$6*(1+0.02*$B77)+S$8)*((1+'User Inputs'!$E$12)^$B77)</f>
        <v>214846.27148670575</v>
      </c>
      <c r="T78" s="14">
        <f>(T$6*(1+0.02*$B77)+T$8)*((1+'User Inputs'!$E$12)^$B77)</f>
        <v>199084.68662485469</v>
      </c>
      <c r="U78" s="4" t="s">
        <v>42</v>
      </c>
      <c r="V78" s="33">
        <v>9</v>
      </c>
      <c r="W78" s="14">
        <f>(W$6*(1+0.02*$B77)+W$8)*((1+'User Inputs'!$E$12)^$B77)</f>
        <v>426480.78090493305</v>
      </c>
      <c r="X78" s="14">
        <f>(X$6*(1+0.02*$B77)+X$8)*((1+'User Inputs'!$E$12)^$B77)</f>
        <v>407823.90454475442</v>
      </c>
      <c r="Y78" s="14">
        <f>(Y$6*(1+0.02*$B77)+Y$8)*((1+'User Inputs'!$E$12)^$B77)</f>
        <v>555443.55959708162</v>
      </c>
      <c r="Z78" s="14">
        <f>(Z$6*(1+0.02*$B77)+Z$8)*((1+'User Inputs'!$E$12)^$B77)</f>
        <v>322447.21758819988</v>
      </c>
      <c r="AA78" s="14">
        <f>(AA$6*(1+0.02*$B77)+AA$8)*((1+'User Inputs'!$E$12)^$B77)</f>
        <v>459013.61717030569</v>
      </c>
      <c r="AB78" s="14">
        <f>(AB$6*(1+0.02*$B77)+AB$8)*((1+'User Inputs'!$E$12)^$B77)</f>
        <v>347694.8674724992</v>
      </c>
      <c r="AC78" s="14">
        <f>(AC$6*(1+0.02*$B77)+AC$8)*((1+'User Inputs'!$E$12)^$B77)</f>
        <v>570768.49790769047</v>
      </c>
      <c r="AD78" s="14">
        <f>(AD$6*(1+0.02*$B77)+AD$8)*((1+'User Inputs'!$E$12)^$B77)</f>
        <v>436075.96020547725</v>
      </c>
    </row>
    <row r="79" spans="1:30" x14ac:dyDescent="0.25">
      <c r="A79" s="4" t="s">
        <v>42</v>
      </c>
      <c r="B79" s="33">
        <v>10</v>
      </c>
      <c r="C79" s="14">
        <f>(C$6*(1+0.02*$B78)+C$8)*((1+'User Inputs'!$E$12)^$B78)</f>
        <v>350081.97215723904</v>
      </c>
      <c r="D79" s="14">
        <f>(D$6*(1+0.02*$B78)+D$8)*((1+'User Inputs'!$E$12)^$B78)</f>
        <v>341426.58337314788</v>
      </c>
      <c r="E79" s="14">
        <f>(E$6*(1+0.02*$B78)+E$8)*((1+'User Inputs'!$E$12)^$B78)</f>
        <v>414083.25470798759</v>
      </c>
      <c r="F79" s="14">
        <f>(F$6*(1+0.02*$B78)+F$8)*((1+'User Inputs'!$E$12)^$B78)</f>
        <v>274403.84896835889</v>
      </c>
      <c r="G79" s="14">
        <f>(G$6*(1+0.02*$B78)+G$8)*((1+'User Inputs'!$E$12)^$B78)</f>
        <v>350366.3517139625</v>
      </c>
      <c r="H79" s="14">
        <f>(H$6*(1+0.02*$B78)+H$8)*((1+'User Inputs'!$E$12)^$B78)</f>
        <v>290208.64376843447</v>
      </c>
      <c r="I79" s="14">
        <f>(I$6*(1+0.02*$B78)+I$8)*((1+'User Inputs'!$E$12)^$B78)</f>
        <v>404393.40229815652</v>
      </c>
      <c r="J79" s="14">
        <f>(J$6*(1+0.02*$B78)+J$8)*((1+'User Inputs'!$E$12)^$B78)</f>
        <v>326338.84112655831</v>
      </c>
      <c r="K79" s="4" t="s">
        <v>42</v>
      </c>
      <c r="L79" s="33">
        <v>10</v>
      </c>
      <c r="M79" s="14">
        <f>(M$6*(1+0.02*$B78)+M$8)*((1+'User Inputs'!$E$12)^$B78)</f>
        <v>260831.49057181313</v>
      </c>
      <c r="N79" s="14">
        <f>(N$6*(1+0.02*$B78)+N$8)*((1+'User Inputs'!$E$12)^$B78)</f>
        <v>262878.83057872654</v>
      </c>
      <c r="O79" s="14">
        <f>(O$6*(1+0.02*$B78)+O$8)*((1+'User Inputs'!$E$12)^$B78)</f>
        <v>255024.0552992844</v>
      </c>
      <c r="P79" s="14">
        <f>(P$6*(1+0.02*$B78)+P$8)*((1+'User Inputs'!$E$12)^$B78)</f>
        <v>217419.03454579436</v>
      </c>
      <c r="Q79" s="14">
        <f>(Q$6*(1+0.02*$B78)+Q$8)*((1+'User Inputs'!$E$12)^$B78)</f>
        <v>227644.62750508534</v>
      </c>
      <c r="R79" s="14">
        <f>(R$6*(1+0.02*$B78)+R$8)*((1+'User Inputs'!$E$12)^$B78)</f>
        <v>222832.01086944313</v>
      </c>
      <c r="S79" s="14">
        <f>(S$6*(1+0.02*$B78)+S$8)*((1+'User Inputs'!$E$12)^$B78)</f>
        <v>219743.40586699391</v>
      </c>
      <c r="T79" s="14">
        <f>(T$6*(1+0.02*$B78)+T$8)*((1+'User Inputs'!$E$12)^$B78)</f>
        <v>203389.40281550778</v>
      </c>
      <c r="U79" s="4" t="s">
        <v>42</v>
      </c>
      <c r="V79" s="33">
        <v>10</v>
      </c>
      <c r="W79" s="14">
        <f>(W$6*(1+0.02*$B78)+W$8)*((1+'User Inputs'!$E$12)^$B78)</f>
        <v>439332.45374266495</v>
      </c>
      <c r="X79" s="14">
        <f>(X$6*(1+0.02*$B78)+X$8)*((1+'User Inputs'!$E$12)^$B78)</f>
        <v>419974.33616756921</v>
      </c>
      <c r="Y79" s="14">
        <f>(Y$6*(1+0.02*$B78)+Y$8)*((1+'User Inputs'!$E$12)^$B78)</f>
        <v>573142.45411669079</v>
      </c>
      <c r="Z79" s="14">
        <f>(Z$6*(1+0.02*$B78)+Z$8)*((1+'User Inputs'!$E$12)^$B78)</f>
        <v>331388.66339092352</v>
      </c>
      <c r="AA79" s="14">
        <f>(AA$6*(1+0.02*$B78)+AA$8)*((1+'User Inputs'!$E$12)^$B78)</f>
        <v>473088.07592283958</v>
      </c>
      <c r="AB79" s="14">
        <f>(AB$6*(1+0.02*$B78)+AB$8)*((1+'User Inputs'!$E$12)^$B78)</f>
        <v>357585.27666742582</v>
      </c>
      <c r="AC79" s="14">
        <f>(AC$6*(1+0.02*$B78)+AC$8)*((1+'User Inputs'!$E$12)^$B78)</f>
        <v>589043.39872931899</v>
      </c>
      <c r="AD79" s="14">
        <f>(AD$6*(1+0.02*$B78)+AD$8)*((1+'User Inputs'!$E$12)^$B78)</f>
        <v>449288.27943760884</v>
      </c>
    </row>
    <row r="80" spans="1:30" x14ac:dyDescent="0.25">
      <c r="A80" s="4" t="s">
        <v>42</v>
      </c>
      <c r="B80" s="33">
        <v>11</v>
      </c>
      <c r="C80" s="14">
        <f>(C$6*(1+0.02*$B79)+C$8)*((1+'User Inputs'!$E$12)^$B79)</f>
        <v>359949.13553700061</v>
      </c>
      <c r="D80" s="14">
        <f>(D$6*(1+0.02*$B79)+D$8)*((1+'User Inputs'!$E$12)^$B79)</f>
        <v>350971.00344231632</v>
      </c>
      <c r="E80" s="14">
        <f>(E$6*(1+0.02*$B79)+E$8)*((1+'User Inputs'!$E$12)^$B79)</f>
        <v>426336.90658964159</v>
      </c>
      <c r="F80" s="14">
        <f>(F$6*(1+0.02*$B79)+F$8)*((1+'User Inputs'!$E$12)^$B79)</f>
        <v>281449.11622921313</v>
      </c>
      <c r="G80" s="14">
        <f>(G$6*(1+0.02*$B79)+G$8)*((1+'User Inputs'!$E$12)^$B79)</f>
        <v>360244.11907719512</v>
      </c>
      <c r="H80" s="14">
        <f>(H$6*(1+0.02*$B79)+H$8)*((1+'User Inputs'!$E$12)^$B79)</f>
        <v>297843.24236081692</v>
      </c>
      <c r="I80" s="14">
        <f>(I$6*(1+0.02*$B79)+I$8)*((1+'User Inputs'!$E$12)^$B79)</f>
        <v>416285.73764927435</v>
      </c>
      <c r="J80" s="14">
        <f>(J$6*(1+0.02*$B79)+J$8)*((1+'User Inputs'!$E$12)^$B79)</f>
        <v>335320.66741704033</v>
      </c>
      <c r="K80" s="4" t="s">
        <v>42</v>
      </c>
      <c r="L80" s="33">
        <v>11</v>
      </c>
      <c r="M80" s="14">
        <f>(M$6*(1+0.02*$B79)+M$8)*((1+'User Inputs'!$E$12)^$B79)</f>
        <v>267370.6698924572</v>
      </c>
      <c r="N80" s="14">
        <f>(N$6*(1+0.02*$B79)+N$8)*((1+'User Inputs'!$E$12)^$B79)</f>
        <v>269494.35139115382</v>
      </c>
      <c r="O80" s="14">
        <f>(O$6*(1+0.02*$B79)+O$8)*((1+'User Inputs'!$E$12)^$B79)</f>
        <v>261346.68618603758</v>
      </c>
      <c r="P80" s="14">
        <f>(P$6*(1+0.02*$B79)+P$8)*((1+'User Inputs'!$E$12)^$B79)</f>
        <v>222339.44431970548</v>
      </c>
      <c r="Q80" s="14">
        <f>(Q$6*(1+0.02*$B79)+Q$8)*((1+'User Inputs'!$E$12)^$B79)</f>
        <v>232946.33057578362</v>
      </c>
      <c r="R80" s="14">
        <f>(R$6*(1+0.02*$B79)+R$8)*((1+'User Inputs'!$E$12)^$B79)</f>
        <v>227954.2604384734</v>
      </c>
      <c r="S80" s="14">
        <f>(S$6*(1+0.02*$B79)+S$8)*((1+'User Inputs'!$E$12)^$B79)</f>
        <v>224750.48711389894</v>
      </c>
      <c r="T80" s="14">
        <f>(T$6*(1+0.02*$B79)+T$8)*((1+'User Inputs'!$E$12)^$B79)</f>
        <v>207786.673779137</v>
      </c>
      <c r="U80" s="4" t="s">
        <v>42</v>
      </c>
      <c r="V80" s="33">
        <v>11</v>
      </c>
      <c r="W80" s="14">
        <f>(W$6*(1+0.02*$B79)+W$8)*((1+'User Inputs'!$E$12)^$B79)</f>
        <v>452527.60118154419</v>
      </c>
      <c r="X80" s="14">
        <f>(X$6*(1+0.02*$B79)+X$8)*((1+'User Inputs'!$E$12)^$B79)</f>
        <v>432447.65549347881</v>
      </c>
      <c r="Y80" s="14">
        <f>(Y$6*(1+0.02*$B79)+Y$8)*((1+'User Inputs'!$E$12)^$B79)</f>
        <v>591327.12699324556</v>
      </c>
      <c r="Z80" s="14">
        <f>(Z$6*(1+0.02*$B79)+Z$8)*((1+'User Inputs'!$E$12)^$B79)</f>
        <v>340558.78813872085</v>
      </c>
      <c r="AA80" s="14">
        <f>(AA$6*(1+0.02*$B79)+AA$8)*((1+'User Inputs'!$E$12)^$B79)</f>
        <v>487541.90757860662</v>
      </c>
      <c r="AB80" s="14">
        <f>(AB$6*(1+0.02*$B79)+AB$8)*((1+'User Inputs'!$E$12)^$B79)</f>
        <v>367732.22428316047</v>
      </c>
      <c r="AC80" s="14">
        <f>(AC$6*(1+0.02*$B79)+AC$8)*((1+'User Inputs'!$E$12)^$B79)</f>
        <v>607820.98818464973</v>
      </c>
      <c r="AD80" s="14">
        <f>(AD$6*(1+0.02*$B79)+AD$8)*((1+'User Inputs'!$E$12)^$B79)</f>
        <v>462854.66105494363</v>
      </c>
    </row>
    <row r="81" spans="1:30" x14ac:dyDescent="0.25">
      <c r="A81" s="4" t="s">
        <v>42</v>
      </c>
      <c r="B81" s="33">
        <v>12</v>
      </c>
      <c r="C81" s="14">
        <f>(C$6*(1+0.02*$B80)+C$8)*((1+'User Inputs'!$E$12)^$B80)</f>
        <v>370070.95266308979</v>
      </c>
      <c r="D81" s="14">
        <f>(D$6*(1+0.02*$B80)+D$8)*((1+'User Inputs'!$E$12)^$B80)</f>
        <v>360760.62968090206</v>
      </c>
      <c r="E81" s="14">
        <f>(E$6*(1+0.02*$B80)+E$8)*((1+'User Inputs'!$E$12)^$B80)</f>
        <v>438915.07124467834</v>
      </c>
      <c r="F81" s="14">
        <f>(F$6*(1+0.02*$B80)+F$8)*((1+'User Inputs'!$E$12)^$B80)</f>
        <v>288666.43264091411</v>
      </c>
      <c r="G81" s="14">
        <f>(G$6*(1+0.02*$B80)+G$8)*((1+'User Inputs'!$E$12)^$B80)</f>
        <v>370376.85059427138</v>
      </c>
      <c r="H81" s="14">
        <f>(H$6*(1+0.02*$B80)+H$8)*((1+'User Inputs'!$E$12)^$B80)</f>
        <v>305667.14143938723</v>
      </c>
      <c r="I81" s="14">
        <f>(I$6*(1+0.02*$B80)+I$8)*((1+'User Inputs'!$E$12)^$B80)</f>
        <v>428492.0090535176</v>
      </c>
      <c r="J81" s="14">
        <f>(J$6*(1+0.02*$B80)+J$8)*((1+'User Inputs'!$E$12)^$B80)</f>
        <v>344531.2312226909</v>
      </c>
      <c r="K81" s="4" t="s">
        <v>42</v>
      </c>
      <c r="L81" s="33">
        <v>12</v>
      </c>
      <c r="M81" s="14">
        <f>(M$6*(1+0.02*$B80)+M$8)*((1+'User Inputs'!$E$12)^$B80)</f>
        <v>274067.0837896982</v>
      </c>
      <c r="N81" s="14">
        <f>(N$6*(1+0.02*$B80)+N$8)*((1+'User Inputs'!$E$12)^$B80)</f>
        <v>276269.34150384658</v>
      </c>
      <c r="O81" s="14">
        <f>(O$6*(1+0.02*$B80)+O$8)*((1+'User Inputs'!$E$12)^$B80)</f>
        <v>267820.21268614102</v>
      </c>
      <c r="P81" s="14">
        <f>(P$6*(1+0.02*$B80)+P$8)*((1+'User Inputs'!$E$12)^$B80)</f>
        <v>227369.70287075467</v>
      </c>
      <c r="Q81" s="14">
        <f>(Q$6*(1+0.02*$B80)+Q$8)*((1+'User Inputs'!$E$12)^$B80)</f>
        <v>238369.04391830775</v>
      </c>
      <c r="R81" s="14">
        <f>(R$6*(1+0.02*$B80)+R$8)*((1+'User Inputs'!$E$12)^$B80)</f>
        <v>233192.26718591698</v>
      </c>
      <c r="S81" s="14">
        <f>(S$6*(1+0.02*$B80)+S$8)*((1+'User Inputs'!$E$12)^$B80)</f>
        <v>229869.95424833332</v>
      </c>
      <c r="T81" s="14">
        <f>(T$6*(1+0.02*$B80)+T$8)*((1+'User Inputs'!$E$12)^$B80)</f>
        <v>212278.4798201852</v>
      </c>
      <c r="U81" s="4" t="s">
        <v>42</v>
      </c>
      <c r="V81" s="33">
        <v>12</v>
      </c>
      <c r="W81" s="14">
        <f>(W$6*(1+0.02*$B80)+W$8)*((1+'User Inputs'!$E$12)^$B80)</f>
        <v>466074.82153648138</v>
      </c>
      <c r="X81" s="14">
        <f>(X$6*(1+0.02*$B80)+X$8)*((1+'User Inputs'!$E$12)^$B80)</f>
        <v>445251.91785795748</v>
      </c>
      <c r="Y81" s="14">
        <f>(Y$6*(1+0.02*$B80)+Y$8)*((1+'User Inputs'!$E$12)^$B80)</f>
        <v>610009.92980321567</v>
      </c>
      <c r="Z81" s="14">
        <f>(Z$6*(1+0.02*$B80)+Z$8)*((1+'User Inputs'!$E$12)^$B80)</f>
        <v>349963.16241107357</v>
      </c>
      <c r="AA81" s="14">
        <f>(AA$6*(1+0.02*$B80)+AA$8)*((1+'User Inputs'!$E$12)^$B80)</f>
        <v>502384.65727023507</v>
      </c>
      <c r="AB81" s="14">
        <f>(AB$6*(1+0.02*$B80)+AB$8)*((1+'User Inputs'!$E$12)^$B80)</f>
        <v>378142.0156928575</v>
      </c>
      <c r="AC81" s="14">
        <f>(AC$6*(1+0.02*$B80)+AC$8)*((1+'User Inputs'!$E$12)^$B80)</f>
        <v>627114.06385870185</v>
      </c>
      <c r="AD81" s="14">
        <f>(AD$6*(1+0.02*$B80)+AD$8)*((1+'User Inputs'!$E$12)^$B80)</f>
        <v>476783.98262519657</v>
      </c>
    </row>
    <row r="82" spans="1:30" x14ac:dyDescent="0.25">
      <c r="A82" s="4" t="s">
        <v>42</v>
      </c>
      <c r="B82" s="33">
        <v>13</v>
      </c>
      <c r="C82" s="14">
        <f>(C$6*(1+0.02*$B81)+C$8)*((1+'User Inputs'!$E$12)^$B81)</f>
        <v>380453.66282000783</v>
      </c>
      <c r="D82" s="14">
        <f>(D$6*(1+0.02*$B81)+D$8)*((1+'User Inputs'!$E$12)^$B81)</f>
        <v>370801.45256765443</v>
      </c>
      <c r="E82" s="14">
        <f>(E$6*(1+0.02*$B81)+E$8)*((1+'User Inputs'!$E$12)^$B81)</f>
        <v>451825.82772328099</v>
      </c>
      <c r="F82" s="14">
        <f>(F$6*(1+0.02*$B81)+F$8)*((1+'User Inputs'!$E$12)^$B81)</f>
        <v>296059.86206259154</v>
      </c>
      <c r="G82" s="14">
        <f>(G$6*(1+0.02*$B81)+G$8)*((1+'User Inputs'!$E$12)^$B81)</f>
        <v>380770.79372440005</v>
      </c>
      <c r="H82" s="14">
        <f>(H$6*(1+0.02*$B81)+H$8)*((1+'User Inputs'!$E$12)^$B81)</f>
        <v>313684.85918415617</v>
      </c>
      <c r="I82" s="14">
        <f>(I$6*(1+0.02*$B81)+I$8)*((1+'User Inputs'!$E$12)^$B81)</f>
        <v>441020.01701887092</v>
      </c>
      <c r="J82" s="14">
        <f>(J$6*(1+0.02*$B81)+J$8)*((1+'User Inputs'!$E$12)^$B81)</f>
        <v>353976.08931360074</v>
      </c>
      <c r="K82" s="4" t="s">
        <v>42</v>
      </c>
      <c r="L82" s="33">
        <v>13</v>
      </c>
      <c r="M82" s="14">
        <f>(M$6*(1+0.02*$B81)+M$8)*((1+'User Inputs'!$E$12)^$B81)</f>
        <v>280924.40597487194</v>
      </c>
      <c r="N82" s="14">
        <f>(N$6*(1+0.02*$B81)+N$8)*((1+'User Inputs'!$E$12)^$B81)</f>
        <v>283207.53348049073</v>
      </c>
      <c r="O82" s="14">
        <f>(O$6*(1+0.02*$B81)+O$8)*((1+'User Inputs'!$E$12)^$B81)</f>
        <v>274448.14157177438</v>
      </c>
      <c r="P82" s="14">
        <f>(P$6*(1+0.02*$B81)+P$8)*((1+'User Inputs'!$E$12)^$B81)</f>
        <v>232512.23598611806</v>
      </c>
      <c r="Q82" s="14">
        <f>(Q$6*(1+0.02*$B81)+Q$8)*((1+'User Inputs'!$E$12)^$B81)</f>
        <v>243915.48726230257</v>
      </c>
      <c r="R82" s="14">
        <f>(R$6*(1+0.02*$B81)+R$8)*((1+'User Inputs'!$E$12)^$B81)</f>
        <v>238548.61249908304</v>
      </c>
      <c r="S82" s="14">
        <f>(S$6*(1+0.02*$B81)+S$8)*((1+'User Inputs'!$E$12)^$B81)</f>
        <v>235104.29987329958</v>
      </c>
      <c r="T82" s="14">
        <f>(T$6*(1+0.02*$B81)+T$8)*((1+'User Inputs'!$E$12)^$B81)</f>
        <v>216866.84343336371</v>
      </c>
      <c r="U82" s="4" t="s">
        <v>42</v>
      </c>
      <c r="V82" s="33">
        <v>13</v>
      </c>
      <c r="W82" s="14">
        <f>(W$6*(1+0.02*$B81)+W$8)*((1+'User Inputs'!$E$12)^$B81)</f>
        <v>479982.91966514359</v>
      </c>
      <c r="X82" s="14">
        <f>(X$6*(1+0.02*$B81)+X$8)*((1+'User Inputs'!$E$12)^$B81)</f>
        <v>458395.37165481824</v>
      </c>
      <c r="Y82" s="14">
        <f>(Y$6*(1+0.02*$B81)+Y$8)*((1+'User Inputs'!$E$12)^$B81)</f>
        <v>629203.51387478749</v>
      </c>
      <c r="Z82" s="14">
        <f>(Z$6*(1+0.02*$B81)+Z$8)*((1+'User Inputs'!$E$12)^$B81)</f>
        <v>359607.4881390651</v>
      </c>
      <c r="AA82" s="14">
        <f>(AA$6*(1+0.02*$B81)+AA$8)*((1+'User Inputs'!$E$12)^$B81)</f>
        <v>517626.1001864975</v>
      </c>
      <c r="AB82" s="14">
        <f>(AB$6*(1+0.02*$B81)+AB$8)*((1+'User Inputs'!$E$12)^$B81)</f>
        <v>388821.1058692293</v>
      </c>
      <c r="AC82" s="14">
        <f>(AC$6*(1+0.02*$B81)+AC$8)*((1+'User Inputs'!$E$12)^$B81)</f>
        <v>646935.7341644424</v>
      </c>
      <c r="AD82" s="14">
        <f>(AD$6*(1+0.02*$B81)+AD$8)*((1+'User Inputs'!$E$12)^$B81)</f>
        <v>491085.33519383782</v>
      </c>
    </row>
    <row r="83" spans="1:30" x14ac:dyDescent="0.25">
      <c r="A83" s="4" t="s">
        <v>42</v>
      </c>
      <c r="B83" s="33">
        <v>14</v>
      </c>
      <c r="C83" s="14">
        <f>(C$6*(1+0.02*$B82)+C$8)*((1+'User Inputs'!$E$12)^$B82)</f>
        <v>391103.6530021372</v>
      </c>
      <c r="D83" s="14">
        <f>(D$6*(1+0.02*$B82)+D$8)*((1+'User Inputs'!$E$12)^$B82)</f>
        <v>381099.60411800456</v>
      </c>
      <c r="E83" s="14">
        <f>(E$6*(1+0.02*$B82)+E$8)*((1+'User Inputs'!$E$12)^$B82)</f>
        <v>465077.44843252964</v>
      </c>
      <c r="F83" s="14">
        <f>(F$6*(1+0.02*$B82)+F$8)*((1+'User Inputs'!$E$12)^$B82)</f>
        <v>303633.56208807969</v>
      </c>
      <c r="G83" s="14">
        <f>(G$6*(1+0.02*$B82)+G$8)*((1+'User Inputs'!$E$12)^$B82)</f>
        <v>391432.34383949602</v>
      </c>
      <c r="H83" s="14">
        <f>(H$6*(1+0.02*$B82)+H$8)*((1+'User Inputs'!$E$12)^$B82)</f>
        <v>321901.01878213999</v>
      </c>
      <c r="I83" s="14">
        <f>(I$6*(1+0.02*$B82)+I$8)*((1+'User Inputs'!$E$12)^$B82)</f>
        <v>453877.74849921698</v>
      </c>
      <c r="J83" s="14">
        <f>(J$6*(1+0.02*$B82)+J$8)*((1+'User Inputs'!$E$12)^$B82)</f>
        <v>363660.92923565797</v>
      </c>
      <c r="K83" s="4" t="s">
        <v>42</v>
      </c>
      <c r="L83" s="33">
        <v>14</v>
      </c>
      <c r="M83" s="14">
        <f>(M$6*(1+0.02*$B82)+M$8)*((1+'User Inputs'!$E$12)^$B82)</f>
        <v>287946.3942139367</v>
      </c>
      <c r="N83" s="14">
        <f>(N$6*(1+0.02*$B82)+N$8)*((1+'User Inputs'!$E$12)^$B82)</f>
        <v>290312.74539959902</v>
      </c>
      <c r="O83" s="14">
        <f>(O$6*(1+0.02*$B82)+O$8)*((1+'User Inputs'!$E$12)^$B82)</f>
        <v>281234.05952775851</v>
      </c>
      <c r="P83" s="14">
        <f>(P$6*(1+0.02*$B82)+P$8)*((1+'User Inputs'!$E$12)^$B82)</f>
        <v>237769.5225449476</v>
      </c>
      <c r="Q83" s="14">
        <f>(Q$6*(1+0.02*$B82)+Q$8)*((1+'User Inputs'!$E$12)^$B82)</f>
        <v>249588.44072248979</v>
      </c>
      <c r="R83" s="14">
        <f>(R$6*(1+0.02*$B82)+R$8)*((1+'User Inputs'!$E$12)^$B82)</f>
        <v>244025.93471790131</v>
      </c>
      <c r="S83" s="14">
        <f>(S$6*(1+0.02*$B82)+S$8)*((1+'User Inputs'!$E$12)^$B82)</f>
        <v>240456.07134156511</v>
      </c>
      <c r="T83" s="14">
        <f>(T$6*(1+0.02*$B82)+T$8)*((1+'User Inputs'!$E$12)^$B82)</f>
        <v>221553.83019914129</v>
      </c>
      <c r="U83" s="4" t="s">
        <v>42</v>
      </c>
      <c r="V83" s="33">
        <v>14</v>
      </c>
      <c r="W83" s="14">
        <f>(W$6*(1+0.02*$B82)+W$8)*((1+'User Inputs'!$E$12)^$B82)</f>
        <v>494260.91179033759</v>
      </c>
      <c r="X83" s="14">
        <f>(X$6*(1+0.02*$B82)+X$8)*((1+'User Inputs'!$E$12)^$B82)</f>
        <v>471886.46283641009</v>
      </c>
      <c r="Y83" s="14">
        <f>(Y$6*(1+0.02*$B82)+Y$8)*((1+'User Inputs'!$E$12)^$B82)</f>
        <v>648920.83733730076</v>
      </c>
      <c r="Z83" s="14">
        <f>(Z$6*(1+0.02*$B82)+Z$8)*((1+'User Inputs'!$E$12)^$B82)</f>
        <v>369497.60163121176</v>
      </c>
      <c r="AA83" s="14">
        <f>(AA$6*(1+0.02*$B82)+AA$8)*((1+'User Inputs'!$E$12)^$B82)</f>
        <v>533276.2469565022</v>
      </c>
      <c r="AB83" s="14">
        <f>(AB$6*(1+0.02*$B82)+AB$8)*((1+'User Inputs'!$E$12)^$B82)</f>
        <v>399776.10284637864</v>
      </c>
      <c r="AC83" s="14">
        <f>(AC$6*(1+0.02*$B82)+AC$8)*((1+'User Inputs'!$E$12)^$B82)</f>
        <v>667299.42565686896</v>
      </c>
      <c r="AD83" s="14">
        <f>(AD$6*(1+0.02*$B82)+AD$8)*((1+'User Inputs'!$E$12)^$B82)</f>
        <v>505768.02827217459</v>
      </c>
    </row>
    <row r="84" spans="1:30" x14ac:dyDescent="0.25">
      <c r="A84" s="4" t="s">
        <v>42</v>
      </c>
      <c r="B84" s="33">
        <v>15</v>
      </c>
      <c r="C84" s="14">
        <f>(C$6*(1+0.02*$B83)+C$8)*((1+'User Inputs'!$E$12)^$B83)</f>
        <v>402027.4613264238</v>
      </c>
      <c r="D84" s="14">
        <f>(D$6*(1+0.02*$B83)+D$8)*((1+'User Inputs'!$E$12)^$B83)</f>
        <v>391661.36114934168</v>
      </c>
      <c r="E84" s="14">
        <f>(E$6*(1+0.02*$B83)+E$8)*((1+'User Inputs'!$E$12)^$B83)</f>
        <v>478678.40363905911</v>
      </c>
      <c r="F84" s="14">
        <f>(F$6*(1+0.02*$B83)+F$8)*((1+'User Inputs'!$E$12)^$B83)</f>
        <v>311391.78616976232</v>
      </c>
      <c r="G84" s="14">
        <f>(G$6*(1+0.02*$B83)+G$8)*((1+'User Inputs'!$E$12)^$B83)</f>
        <v>402368.04764170607</v>
      </c>
      <c r="H84" s="14">
        <f>(H$6*(1+0.02*$B83)+H$8)*((1+'User Inputs'!$E$12)^$B83)</f>
        <v>330320.35082036955</v>
      </c>
      <c r="I84" s="14">
        <f>(I$6*(1+0.02*$B83)+I$8)*((1+'User Inputs'!$E$12)^$B83)</f>
        <v>467073.38123196934</v>
      </c>
      <c r="J84" s="14">
        <f>(J$6*(1+0.02*$B83)+J$8)*((1+'User Inputs'!$E$12)^$B83)</f>
        <v>373591.57231887197</v>
      </c>
      <c r="K84" s="4" t="s">
        <v>42</v>
      </c>
      <c r="L84" s="33">
        <v>15</v>
      </c>
      <c r="M84" s="14">
        <f>(M$6*(1+0.02*$B83)+M$8)*((1+'User Inputs'!$E$12)^$B83)</f>
        <v>295136.8922201742</v>
      </c>
      <c r="N84" s="14">
        <f>(N$6*(1+0.02*$B83)+N$8)*((1+'User Inputs'!$E$12)^$B83)</f>
        <v>297588.88278207951</v>
      </c>
      <c r="O84" s="14">
        <f>(O$6*(1+0.02*$B83)+O$8)*((1+'User Inputs'!$E$12)^$B83)</f>
        <v>288181.63494535332</v>
      </c>
      <c r="P84" s="14">
        <f>(P$6*(1+0.02*$B83)+P$8)*((1+'User Inputs'!$E$12)^$B83)</f>
        <v>243144.09567173597</v>
      </c>
      <c r="Q84" s="14">
        <f>(Q$6*(1+0.02*$B83)+Q$8)*((1+'User Inputs'!$E$12)^$B83)</f>
        <v>255390.74612617967</v>
      </c>
      <c r="R84" s="14">
        <f>(R$6*(1+0.02*$B83)+R$8)*((1+'User Inputs'!$E$12)^$B83)</f>
        <v>249626.93038047274</v>
      </c>
      <c r="S84" s="14">
        <f>(S$6*(1+0.02*$B83)+S$8)*((1+'User Inputs'!$E$12)^$B83)</f>
        <v>245927.87194861198</v>
      </c>
      <c r="T84" s="14">
        <f>(T$6*(1+0.02*$B83)+T$8)*((1+'User Inputs'!$E$12)^$B83)</f>
        <v>226341.54969817662</v>
      </c>
      <c r="U84" s="4" t="s">
        <v>42</v>
      </c>
      <c r="V84" s="33">
        <v>15</v>
      </c>
      <c r="W84" s="14">
        <f>(W$6*(1+0.02*$B83)+W$8)*((1+'User Inputs'!$E$12)^$B83)</f>
        <v>508918.0304326734</v>
      </c>
      <c r="X84" s="14">
        <f>(X$6*(1+0.02*$B83)+X$8)*((1+'User Inputs'!$E$12)^$B83)</f>
        <v>485733.83951660374</v>
      </c>
      <c r="Y84" s="14">
        <f>(Y$6*(1+0.02*$B83)+Y$8)*((1+'User Inputs'!$E$12)^$B83)</f>
        <v>669175.17233276484</v>
      </c>
      <c r="Z84" s="14">
        <f>(Z$6*(1+0.02*$B83)+Z$8)*((1+'User Inputs'!$E$12)^$B83)</f>
        <v>379639.47666778864</v>
      </c>
      <c r="AA84" s="14">
        <f>(AA$6*(1+0.02*$B83)+AA$8)*((1+'User Inputs'!$E$12)^$B83)</f>
        <v>549345.34915723256</v>
      </c>
      <c r="AB84" s="14">
        <f>(AB$6*(1+0.02*$B83)+AB$8)*((1+'User Inputs'!$E$12)^$B83)</f>
        <v>411013.77126026648</v>
      </c>
      <c r="AC84" s="14">
        <f>(AC$6*(1+0.02*$B83)+AC$8)*((1+'User Inputs'!$E$12)^$B83)</f>
        <v>688218.89051532676</v>
      </c>
      <c r="AD84" s="14">
        <f>(AD$6*(1+0.02*$B83)+AD$8)*((1+'User Inputs'!$E$12)^$B83)</f>
        <v>520841.59493956738</v>
      </c>
    </row>
    <row r="85" spans="1:30" x14ac:dyDescent="0.25">
      <c r="A85" s="4" t="s">
        <v>42</v>
      </c>
      <c r="B85" s="33">
        <v>16</v>
      </c>
      <c r="C85" s="14">
        <f>(C$6*(1+0.02*$B84)+C$8)*((1+'User Inputs'!$E$12)^$B84)</f>
        <v>413231.78052248084</v>
      </c>
      <c r="D85" s="14">
        <f>(D$6*(1+0.02*$B84)+D$8)*((1+'User Inputs'!$E$12)^$B84)</f>
        <v>402493.14862028486</v>
      </c>
      <c r="E85" s="14">
        <f>(E$6*(1+0.02*$B84)+E$8)*((1+'User Inputs'!$E$12)^$B84)</f>
        <v>492637.36607447645</v>
      </c>
      <c r="F85" s="14">
        <f>(F$6*(1+0.02*$B84)+F$8)*((1+'User Inputs'!$E$12)^$B84)</f>
        <v>319338.88578987692</v>
      </c>
      <c r="G85" s="14">
        <f>(G$6*(1+0.02*$B84)+G$8)*((1+'User Inputs'!$E$12)^$B84)</f>
        <v>413584.60665846861</v>
      </c>
      <c r="H85" s="14">
        <f>(H$6*(1+0.02*$B84)+H$8)*((1+'User Inputs'!$E$12)^$B84)</f>
        <v>338947.69573261536</v>
      </c>
      <c r="I85" s="14">
        <f>(I$6*(1+0.02*$B84)+I$8)*((1+'User Inputs'!$E$12)^$B84)</f>
        <v>480615.28817463201</v>
      </c>
      <c r="J85" s="14">
        <f>(J$6*(1+0.02*$B84)+J$8)*((1+'User Inputs'!$E$12)^$B84)</f>
        <v>383773.9767537202</v>
      </c>
      <c r="K85" s="4" t="s">
        <v>42</v>
      </c>
      <c r="L85" s="33">
        <v>16</v>
      </c>
      <c r="M85" s="14">
        <f>(M$6*(1+0.02*$B84)+M$8)*((1+'User Inputs'!$E$12)^$B84)</f>
        <v>302499.83158897544</v>
      </c>
      <c r="N85" s="14">
        <f>(N$6*(1+0.02*$B84)+N$8)*((1+'User Inputs'!$E$12)^$B84)</f>
        <v>305039.94056169927</v>
      </c>
      <c r="O85" s="14">
        <f>(O$6*(1+0.02*$B84)+O$8)*((1+'User Inputs'!$E$12)^$B84)</f>
        <v>295294.61975584069</v>
      </c>
      <c r="P85" s="14">
        <f>(P$6*(1+0.02*$B84)+P$8)*((1+'User Inputs'!$E$12)^$B84)</f>
        <v>248638.54391457772</v>
      </c>
      <c r="Q85" s="14">
        <f>(Q$6*(1+0.02*$B84)+Q$8)*((1+'User Inputs'!$E$12)^$B84)</f>
        <v>261325.30836972801</v>
      </c>
      <c r="R85" s="14">
        <f>(R$6*(1+0.02*$B84)+R$8)*((1+'User Inputs'!$E$12)^$B84)</f>
        <v>255354.35549565975</v>
      </c>
      <c r="S85" s="14">
        <f>(S$6*(1+0.02*$B84)+S$8)*((1+'User Inputs'!$E$12)^$B84)</f>
        <v>251522.362151404</v>
      </c>
      <c r="T85" s="14">
        <f>(T$6*(1+0.02*$B84)+T$8)*((1+'User Inputs'!$E$12)^$B84)</f>
        <v>231232.1564450936</v>
      </c>
      <c r="U85" s="4" t="s">
        <v>42</v>
      </c>
      <c r="V85" s="33">
        <v>16</v>
      </c>
      <c r="W85" s="14">
        <f>(W$6*(1+0.02*$B84)+W$8)*((1+'User Inputs'!$E$12)^$B84)</f>
        <v>523963.72945598629</v>
      </c>
      <c r="X85" s="14">
        <f>(X$6*(1+0.02*$B84)+X$8)*((1+'User Inputs'!$E$12)^$B84)</f>
        <v>499946.35667887045</v>
      </c>
      <c r="Y85" s="14">
        <f>(Y$6*(1+0.02*$B84)+Y$8)*((1+'User Inputs'!$E$12)^$B84)</f>
        <v>689980.11239311227</v>
      </c>
      <c r="Z85" s="14">
        <f>(Z$6*(1+0.02*$B84)+Z$8)*((1+'User Inputs'!$E$12)^$B84)</f>
        <v>390039.22766517609</v>
      </c>
      <c r="AA85" s="14">
        <f>(AA$6*(1+0.02*$B84)+AA$8)*((1+'User Inputs'!$E$12)^$B84)</f>
        <v>565843.90494720929</v>
      </c>
      <c r="AB85" s="14">
        <f>(AB$6*(1+0.02*$B84)+AB$8)*((1+'User Inputs'!$E$12)^$B84)</f>
        <v>422541.03596957098</v>
      </c>
      <c r="AC85" s="14">
        <f>(AC$6*(1+0.02*$B84)+AC$8)*((1+'User Inputs'!$E$12)^$B84)</f>
        <v>709708.21419785987</v>
      </c>
      <c r="AD85" s="14">
        <f>(AD$6*(1+0.02*$B84)+AD$8)*((1+'User Inputs'!$E$12)^$B84)</f>
        <v>536315.79706234683</v>
      </c>
    </row>
    <row r="86" spans="1:30" x14ac:dyDescent="0.25">
      <c r="A86" s="4" t="s">
        <v>42</v>
      </c>
      <c r="B86" s="33">
        <v>17</v>
      </c>
      <c r="C86" s="14">
        <f>(C$6*(1+0.02*$B85)+C$8)*((1+'User Inputs'!$E$12)^$B85)</f>
        <v>424723.46150184987</v>
      </c>
      <c r="D86" s="14">
        <f>(D$6*(1+0.02*$B85)+D$8)*((1+'User Inputs'!$E$12)^$B85)</f>
        <v>413601.54304560617</v>
      </c>
      <c r="E86" s="14">
        <f>(E$6*(1+0.02*$B85)+E$8)*((1+'User Inputs'!$E$12)^$B85)</f>
        <v>506963.21564585523</v>
      </c>
      <c r="F86" s="14">
        <f>(F$6*(1+0.02*$B85)+F$8)*((1+'User Inputs'!$E$12)^$B85)</f>
        <v>327479.31268032832</v>
      </c>
      <c r="G86" s="14">
        <f>(G$6*(1+0.02*$B85)+G$8)*((1+'User Inputs'!$E$12)^$B85)</f>
        <v>425088.88081684517</v>
      </c>
      <c r="H86" s="14">
        <f>(H$6*(1+0.02*$B85)+H$8)*((1+'User Inputs'!$E$12)^$B85)</f>
        <v>347788.00630102295</v>
      </c>
      <c r="I86" s="14">
        <f>(I$6*(1+0.02*$B85)+I$8)*((1+'User Inputs'!$E$12)^$B85)</f>
        <v>494512.04204250855</v>
      </c>
      <c r="J86" s="14">
        <f>(J$6*(1+0.02*$B85)+J$8)*((1+'User Inputs'!$E$12)^$B85)</f>
        <v>394214.24073703494</v>
      </c>
      <c r="K86" s="4" t="s">
        <v>42</v>
      </c>
      <c r="L86" s="33">
        <v>17</v>
      </c>
      <c r="M86" s="14">
        <f>(M$6*(1+0.02*$B85)+M$8)*((1+'User Inputs'!$E$12)^$B85)</f>
        <v>310039.23377564084</v>
      </c>
      <c r="N86" s="14">
        <f>(N$6*(1+0.02*$B85)+N$8)*((1+'User Inputs'!$E$12)^$B85)</f>
        <v>312670.0050993911</v>
      </c>
      <c r="O86" s="14">
        <f>(O$6*(1+0.02*$B85)+O$8)*((1+'User Inputs'!$E$12)^$B85)</f>
        <v>302576.85130476957</v>
      </c>
      <c r="P86" s="14">
        <f>(P$6*(1+0.02*$B85)+P$8)*((1+'User Inputs'!$E$12)^$B85)</f>
        <v>254255.51244886461</v>
      </c>
      <c r="Q86" s="14">
        <f>(Q$6*(1+0.02*$B85)+Q$8)*((1+'User Inputs'!$E$12)^$B85)</f>
        <v>267395.09680456796</v>
      </c>
      <c r="R86" s="14">
        <f>(R$6*(1+0.02*$B85)+R$8)*((1+'User Inputs'!$E$12)^$B85)</f>
        <v>261211.02684330218</v>
      </c>
      <c r="S86" s="14">
        <f>(S$6*(1+0.02*$B85)+S$8)*((1+'User Inputs'!$E$12)^$B85)</f>
        <v>257242.26081352838</v>
      </c>
      <c r="T86" s="14">
        <f>(T$6*(1+0.02*$B85)+T$8)*((1+'User Inputs'!$E$12)^$B85)</f>
        <v>236227.85084200813</v>
      </c>
      <c r="U86" s="4" t="s">
        <v>42</v>
      </c>
      <c r="V86" s="33">
        <v>17</v>
      </c>
      <c r="W86" s="14">
        <f>(W$6*(1+0.02*$B85)+W$8)*((1+'User Inputs'!$E$12)^$B85)</f>
        <v>539407.68922805891</v>
      </c>
      <c r="X86" s="14">
        <f>(X$6*(1+0.02*$B85)+X$8)*((1+'User Inputs'!$E$12)^$B85)</f>
        <v>514533.08099182125</v>
      </c>
      <c r="Y86" s="14">
        <f>(Y$6*(1+0.02*$B85)+Y$8)*((1+'User Inputs'!$E$12)^$B85)</f>
        <v>711349.57998694072</v>
      </c>
      <c r="Z86" s="14">
        <f>(Z$6*(1+0.02*$B85)+Z$8)*((1+'User Inputs'!$E$12)^$B85)</f>
        <v>400703.11291179201</v>
      </c>
      <c r="AA86" s="14">
        <f>(AA$6*(1+0.02*$B85)+AA$8)*((1+'User Inputs'!$E$12)^$B85)</f>
        <v>582782.66482912237</v>
      </c>
      <c r="AB86" s="14">
        <f>(AB$6*(1+0.02*$B85)+AB$8)*((1+'User Inputs'!$E$12)^$B85)</f>
        <v>434364.98575874383</v>
      </c>
      <c r="AC86" s="14">
        <f>(AC$6*(1+0.02*$B85)+AC$8)*((1+'User Inputs'!$E$12)^$B85)</f>
        <v>731781.82327148877</v>
      </c>
      <c r="AD86" s="14">
        <f>(AD$6*(1+0.02*$B85)+AD$8)*((1+'User Inputs'!$E$12)^$B85)</f>
        <v>552200.63063206174</v>
      </c>
    </row>
    <row r="87" spans="1:30" x14ac:dyDescent="0.25">
      <c r="A87" s="4" t="s">
        <v>42</v>
      </c>
      <c r="B87" s="33">
        <v>18</v>
      </c>
      <c r="C87" s="14">
        <f>(C$6*(1+0.02*$B86)+C$8)*((1+'User Inputs'!$E$12)^$B86)</f>
        <v>436509.51700818463</v>
      </c>
      <c r="D87" s="14">
        <f>(D$6*(1+0.02*$B86)+D$8)*((1+'User Inputs'!$E$12)^$B86)</f>
        <v>424993.2759884923</v>
      </c>
      <c r="E87" s="14">
        <f>(E$6*(1+0.02*$B86)+E$8)*((1+'User Inputs'!$E$12)^$B86)</f>
        <v>521665.04425365914</v>
      </c>
      <c r="F87" s="14">
        <f>(F$6*(1+0.02*$B86)+F$8)*((1+'User Inputs'!$E$12)^$B86)</f>
        <v>335817.62109208183</v>
      </c>
      <c r="G87" s="14">
        <f>(G$6*(1+0.02*$B86)+G$8)*((1+'User Inputs'!$E$12)^$B86)</f>
        <v>436887.89209889341</v>
      </c>
      <c r="H87" s="14">
        <f>(H$6*(1+0.02*$B86)+H$8)*((1+'User Inputs'!$E$12)^$B86)</f>
        <v>356846.35021387384</v>
      </c>
      <c r="I87" s="14">
        <f>(I$6*(1+0.02*$B86)+I$8)*((1+'User Inputs'!$E$12)^$B86)</f>
        <v>508772.41994983028</v>
      </c>
      <c r="J87" s="14">
        <f>(J$6*(1+0.02*$B86)+J$8)*((1+'User Inputs'!$E$12)^$B86)</f>
        <v>404918.60568898072</v>
      </c>
      <c r="K87" s="4" t="s">
        <v>42</v>
      </c>
      <c r="L87" s="33">
        <v>18</v>
      </c>
      <c r="M87" s="14">
        <f>(M$6*(1+0.02*$B86)+M$8)*((1+'User Inputs'!$E$12)^$B86)</f>
        <v>317759.21211713721</v>
      </c>
      <c r="N87" s="14">
        <f>(N$6*(1+0.02*$B86)+N$8)*((1+'User Inputs'!$E$12)^$B86)</f>
        <v>320483.25624236593</v>
      </c>
      <c r="O87" s="14">
        <f>(O$6*(1+0.02*$B86)+O$8)*((1+'User Inputs'!$E$12)^$B86)</f>
        <v>310032.25426775328</v>
      </c>
      <c r="P87" s="14">
        <f>(P$6*(1+0.02*$B86)+P$8)*((1+'User Inputs'!$E$12)^$B86)</f>
        <v>259997.70430695711</v>
      </c>
      <c r="Q87" s="14">
        <f>(Q$6*(1+0.02*$B86)+Q$8)*((1+'User Inputs'!$E$12)^$B86)</f>
        <v>273603.14665345359</v>
      </c>
      <c r="R87" s="14">
        <f>(R$6*(1+0.02*$B86)+R$8)*((1+'User Inputs'!$E$12)^$B86)</f>
        <v>267199.82330265205</v>
      </c>
      <c r="S87" s="14">
        <f>(S$6*(1+0.02*$B86)+S$8)*((1+'User Inputs'!$E$12)^$B86)</f>
        <v>263090.34647727717</v>
      </c>
      <c r="T87" s="14">
        <f>(T$6*(1+0.02*$B86)+T$8)*((1+'User Inputs'!$E$12)^$B86)</f>
        <v>241330.88015222119</v>
      </c>
      <c r="U87" s="4" t="s">
        <v>42</v>
      </c>
      <c r="V87" s="33">
        <v>18</v>
      </c>
      <c r="W87" s="14">
        <f>(W$6*(1+0.02*$B86)+W$8)*((1+'User Inputs'!$E$12)^$B86)</f>
        <v>555259.82189923199</v>
      </c>
      <c r="X87" s="14">
        <f>(X$6*(1+0.02*$B86)+X$8)*((1+'User Inputs'!$E$12)^$B86)</f>
        <v>529503.29573461867</v>
      </c>
      <c r="Y87" s="14">
        <f>(Y$6*(1+0.02*$B86)+Y$8)*((1+'User Inputs'!$E$12)^$B86)</f>
        <v>733297.83423956507</v>
      </c>
      <c r="Z87" s="14">
        <f>(Z$6*(1+0.02*$B86)+Z$8)*((1+'User Inputs'!$E$12)^$B86)</f>
        <v>411637.53787720657</v>
      </c>
      <c r="AA87" s="14">
        <f>(AA$6*(1+0.02*$B86)+AA$8)*((1+'User Inputs'!$E$12)^$B86)</f>
        <v>600172.63754433312</v>
      </c>
      <c r="AB87" s="14">
        <f>(AB$6*(1+0.02*$B86)+AB$8)*((1+'User Inputs'!$E$12)^$B86)</f>
        <v>446492.87712509569</v>
      </c>
      <c r="AC87" s="14">
        <f>(AC$6*(1+0.02*$B86)+AC$8)*((1+'User Inputs'!$E$12)^$B86)</f>
        <v>754454.49342238333</v>
      </c>
      <c r="AD87" s="14">
        <f>(AD$6*(1+0.02*$B86)+AD$8)*((1+'User Inputs'!$E$12)^$B86)</f>
        <v>568506.33122574037</v>
      </c>
    </row>
    <row r="88" spans="1:30" x14ac:dyDescent="0.25">
      <c r="A88" s="4" t="s">
        <v>42</v>
      </c>
      <c r="B88" s="33">
        <v>19</v>
      </c>
      <c r="C88" s="14">
        <f>(C$6*(1+0.02*$B87)+C$8)*((1+'User Inputs'!$E$12)^$B87)</f>
        <v>448597.12535017187</v>
      </c>
      <c r="D88" s="14">
        <f>(D$6*(1+0.02*$B87)+D$8)*((1+'User Inputs'!$E$12)^$B87)</f>
        <v>436675.23763187544</v>
      </c>
      <c r="E88" s="14">
        <f>(E$6*(1+0.02*$B87)+E$8)*((1+'User Inputs'!$E$12)^$B87)</f>
        <v>536752.16071951692</v>
      </c>
      <c r="F88" s="14">
        <f>(F$6*(1+0.02*$B87)+F$8)*((1+'User Inputs'!$E$12)^$B87)</f>
        <v>344358.47011523321</v>
      </c>
      <c r="G88" s="14">
        <f>(G$6*(1+0.02*$B87)+G$8)*((1+'User Inputs'!$E$12)^$B87)</f>
        <v>448988.82827989664</v>
      </c>
      <c r="H88" s="14">
        <f>(H$6*(1+0.02*$B87)+H$8)*((1+'User Inputs'!$E$12)^$B87)</f>
        <v>366127.91268071823</v>
      </c>
      <c r="I88" s="14">
        <f>(I$6*(1+0.02*$B87)+I$8)*((1+'User Inputs'!$E$12)^$B87)</f>
        <v>523405.40815662779</v>
      </c>
      <c r="J88" s="14">
        <f>(J$6*(1+0.02*$B87)+J$8)*((1+'User Inputs'!$E$12)^$B87)</f>
        <v>415893.45954270946</v>
      </c>
      <c r="K88" s="4" t="s">
        <v>42</v>
      </c>
      <c r="L88" s="33">
        <v>19</v>
      </c>
      <c r="M88" s="14">
        <f>(M$6*(1+0.02*$B87)+M$8)*((1+'User Inputs'!$E$12)^$B87)</f>
        <v>325663.97389878315</v>
      </c>
      <c r="N88" s="14">
        <f>(N$6*(1+0.02*$B87)+N$8)*((1+'User Inputs'!$E$12)^$B87)</f>
        <v>328483.9694290199</v>
      </c>
      <c r="O88" s="14">
        <f>(O$6*(1+0.02*$B87)+O$8)*((1+'User Inputs'!$E$12)^$B87)</f>
        <v>317664.84260873433</v>
      </c>
      <c r="P88" s="14">
        <f>(P$6*(1+0.02*$B87)+P$8)*((1+'User Inputs'!$E$12)^$B87)</f>
        <v>265867.88163439371</v>
      </c>
      <c r="Q88" s="14">
        <f>(Q$6*(1+0.02*$B87)+Q$8)*((1+'User Inputs'!$E$12)^$B87)</f>
        <v>279952.56045757275</v>
      </c>
      <c r="R88" s="14">
        <f>(R$6*(1+0.02*$B87)+R$8)*((1+'User Inputs'!$E$12)^$B87)</f>
        <v>273323.68720963848</v>
      </c>
      <c r="S88" s="14">
        <f>(S$6*(1+0.02*$B87)+S$8)*((1+'User Inputs'!$E$12)^$B87)</f>
        <v>269069.45866325038</v>
      </c>
      <c r="T88" s="14">
        <f>(T$6*(1+0.02*$B87)+T$8)*((1+'User Inputs'!$E$12)^$B87)</f>
        <v>246543.53949450591</v>
      </c>
      <c r="U88" s="4" t="s">
        <v>42</v>
      </c>
      <c r="V88" s="33">
        <v>19</v>
      </c>
      <c r="W88" s="14">
        <f>(W$6*(1+0.02*$B87)+W$8)*((1+'User Inputs'!$E$12)^$B87)</f>
        <v>571530.27680156054</v>
      </c>
      <c r="X88" s="14">
        <f>(X$6*(1+0.02*$B87)+X$8)*((1+'User Inputs'!$E$12)^$B87)</f>
        <v>544866.50583473104</v>
      </c>
      <c r="Y88" s="14">
        <f>(Y$6*(1+0.02*$B87)+Y$8)*((1+'User Inputs'!$E$12)^$B87)</f>
        <v>755839.47883029934</v>
      </c>
      <c r="Z88" s="14">
        <f>(Z$6*(1+0.02*$B87)+Z$8)*((1+'User Inputs'!$E$12)^$B87)</f>
        <v>422849.05859607278</v>
      </c>
      <c r="AA88" s="14">
        <f>(AA$6*(1+0.02*$B87)+AA$8)*((1+'User Inputs'!$E$12)^$B87)</f>
        <v>618025.09610222047</v>
      </c>
      <c r="AB88" s="14">
        <f>(AB$6*(1+0.02*$B87)+AB$8)*((1+'User Inputs'!$E$12)^$B87)</f>
        <v>458932.13815179799</v>
      </c>
      <c r="AC88" s="14">
        <f>(AC$6*(1+0.02*$B87)+AC$8)*((1+'User Inputs'!$E$12)^$B87)</f>
        <v>777741.35765000503</v>
      </c>
      <c r="AD88" s="14">
        <f>(AD$6*(1+0.02*$B87)+AD$8)*((1+'User Inputs'!$E$12)^$B87)</f>
        <v>585243.37959091319</v>
      </c>
    </row>
    <row r="89" spans="1:30" x14ac:dyDescent="0.25">
      <c r="A89" s="4" t="s">
        <v>42</v>
      </c>
      <c r="B89" s="33">
        <v>20</v>
      </c>
      <c r="C89" s="14">
        <f>(C$6*(1+0.02*$B88)+C$8)*((1+'User Inputs'!$E$12)^$B88)</f>
        <v>460993.63421903539</v>
      </c>
      <c r="D89" s="14">
        <f>(D$6*(1+0.02*$B88)+D$8)*((1+'User Inputs'!$E$12)^$B88)</f>
        <v>448654.4804305986</v>
      </c>
      <c r="E89" s="14">
        <f>(E$6*(1+0.02*$B88)+E$8)*((1+'User Inputs'!$E$12)^$B88)</f>
        <v>552234.09582630743</v>
      </c>
      <c r="F89" s="14">
        <f>(F$6*(1+0.02*$B88)+F$8)*((1+'User Inputs'!$E$12)^$B88)</f>
        <v>353106.62605087395</v>
      </c>
      <c r="G89" s="14">
        <f>(G$6*(1+0.02*$B88)+G$8)*((1+'User Inputs'!$E$12)^$B88)</f>
        <v>461399.04675130051</v>
      </c>
      <c r="H89" s="14">
        <f>(H$6*(1+0.02*$B88)+H$8)*((1+'User Inputs'!$E$12)^$B88)</f>
        <v>375637.99910615088</v>
      </c>
      <c r="I89" s="14">
        <f>(I$6*(1+0.02*$B88)+I$8)*((1+'User Inputs'!$E$12)^$B88)</f>
        <v>538420.20692371728</v>
      </c>
      <c r="J89" s="14">
        <f>(J$6*(1+0.02*$B88)+J$8)*((1+'User Inputs'!$E$12)^$B88)</f>
        <v>427145.34010831185</v>
      </c>
      <c r="K89" s="4" t="s">
        <v>42</v>
      </c>
      <c r="L89" s="33">
        <v>20</v>
      </c>
      <c r="M89" s="14">
        <f>(M$6*(1+0.02*$B88)+M$8)*((1+'User Inputs'!$E$12)^$B88)</f>
        <v>333757.82246684813</v>
      </c>
      <c r="N89" s="14">
        <f>(N$6*(1+0.02*$B88)+N$8)*((1+'User Inputs'!$E$12)^$B88)</f>
        <v>336676.51784064306</v>
      </c>
      <c r="O89" s="14">
        <f>(O$6*(1+0.02*$B88)+O$8)*((1+'User Inputs'!$E$12)^$B88)</f>
        <v>325478.72158164752</v>
      </c>
      <c r="P89" s="14">
        <f>(P$6*(1+0.02*$B88)+P$8)*((1+'User Inputs'!$E$12)^$B88)</f>
        <v>271868.866973205</v>
      </c>
      <c r="Q89" s="14">
        <f>(Q$6*(1+0.02*$B88)+Q$8)*((1+'User Inputs'!$E$12)^$B88)</f>
        <v>286446.50955519534</v>
      </c>
      <c r="R89" s="14">
        <f>(R$6*(1+0.02*$B88)+R$8)*((1+'User Inputs'!$E$12)^$B88)</f>
        <v>279585.62574358337</v>
      </c>
      <c r="S89" s="14">
        <f>(S$6*(1+0.02*$B88)+S$8)*((1+'User Inputs'!$E$12)^$B88)</f>
        <v>275182.49919807166</v>
      </c>
      <c r="T89" s="14">
        <f>(T$6*(1+0.02*$B88)+T$8)*((1+'User Inputs'!$E$12)^$B88)</f>
        <v>251868.17285842114</v>
      </c>
      <c r="U89" s="4" t="s">
        <v>42</v>
      </c>
      <c r="V89" s="33">
        <v>20</v>
      </c>
      <c r="W89" s="14">
        <f>(W$6*(1+0.02*$B88)+W$8)*((1+'User Inputs'!$E$12)^$B88)</f>
        <v>588229.44597122271</v>
      </c>
      <c r="X89" s="14">
        <f>(X$6*(1+0.02*$B88)+X$8)*((1+'User Inputs'!$E$12)^$B88)</f>
        <v>560632.44302055414</v>
      </c>
      <c r="Y89" s="14">
        <f>(Y$6*(1+0.02*$B88)+Y$8)*((1+'User Inputs'!$E$12)^$B88)</f>
        <v>778989.47007096745</v>
      </c>
      <c r="Z89" s="14">
        <f>(Z$6*(1+0.02*$B88)+Z$8)*((1+'User Inputs'!$E$12)^$B88)</f>
        <v>434344.38512854284</v>
      </c>
      <c r="AA89" s="14">
        <f>(AA$6*(1+0.02*$B88)+AA$8)*((1+'User Inputs'!$E$12)^$B88)</f>
        <v>636351.5839474058</v>
      </c>
      <c r="AB89" s="14">
        <f>(AB$6*(1+0.02*$B88)+AB$8)*((1+'User Inputs'!$E$12)^$B88)</f>
        <v>471690.37246871856</v>
      </c>
      <c r="AC89" s="14">
        <f>(AC$6*(1+0.02*$B88)+AC$8)*((1+'User Inputs'!$E$12)^$B88)</f>
        <v>801657.91464936279</v>
      </c>
      <c r="AD89" s="14">
        <f>(AD$6*(1+0.02*$B88)+AD$8)*((1+'User Inputs'!$E$12)^$B88)</f>
        <v>602422.50735820259</v>
      </c>
    </row>
    <row r="90" spans="1:30" x14ac:dyDescent="0.25">
      <c r="A90" s="4" t="s">
        <v>42</v>
      </c>
      <c r="B90" s="33">
        <v>21</v>
      </c>
      <c r="C90" s="14">
        <f>(C$6*(1+0.02*$B89)+C$8)*((1+'User Inputs'!$E$12)^$B89)</f>
        <v>473706.56459251343</v>
      </c>
      <c r="D90" s="14">
        <f>(D$6*(1+0.02*$B89)+D$8)*((1+'User Inputs'!$E$12)^$B89)</f>
        <v>460938.22284621804</v>
      </c>
      <c r="E90" s="14">
        <f>(E$6*(1+0.02*$B89)+E$8)*((1+'User Inputs'!$E$12)^$B89)</f>
        <v>568120.60747308203</v>
      </c>
      <c r="F90" s="14">
        <f>(F$6*(1+0.02*$B89)+F$8)*((1+'User Inputs'!$E$12)^$B89)</f>
        <v>362066.96483589418</v>
      </c>
      <c r="G90" s="14">
        <f>(G$6*(1+0.02*$B89)+G$8)*((1+'User Inputs'!$E$12)^$B89)</f>
        <v>474126.07843024866</v>
      </c>
      <c r="H90" s="14">
        <f>(H$6*(1+0.02*$B89)+H$8)*((1+'User Inputs'!$E$12)^$B89)</f>
        <v>385382.03782352863</v>
      </c>
      <c r="I90" s="14">
        <f>(I$6*(1+0.02*$B89)+I$8)*((1+'User Inputs'!$E$12)^$B89)</f>
        <v>553826.23547822773</v>
      </c>
      <c r="J90" s="14">
        <f>(J$6*(1+0.02*$B89)+J$8)*((1+'User Inputs'!$E$12)^$B89)</f>
        <v>438680.93851272133</v>
      </c>
      <c r="K90" s="4" t="s">
        <v>42</v>
      </c>
      <c r="L90" s="33">
        <v>21</v>
      </c>
      <c r="M90" s="14">
        <f>(M$6*(1+0.02*$B89)+M$8)*((1+'User Inputs'!$E$12)^$B89)</f>
        <v>342045.15938807616</v>
      </c>
      <c r="N90" s="14">
        <f>(N$6*(1+0.02*$B89)+N$8)*((1+'User Inputs'!$E$12)^$B89)</f>
        <v>345065.37460095971</v>
      </c>
      <c r="O90" s="14">
        <f>(O$6*(1+0.02*$B89)+O$8)*((1+'User Inputs'!$E$12)^$B89)</f>
        <v>333478.08977643389</v>
      </c>
      <c r="P90" s="14">
        <f>(P$6*(1+0.02*$B89)+P$8)*((1+'User Inputs'!$E$12)^$B89)</f>
        <v>278003.54457291507</v>
      </c>
      <c r="Q90" s="14">
        <f>(Q$6*(1+0.02*$B89)+Q$8)*((1+'User Inputs'!$E$12)^$B89)</f>
        <v>293088.23559253977</v>
      </c>
      <c r="R90" s="14">
        <f>(R$6*(1+0.02*$B89)+R$8)*((1+'User Inputs'!$E$12)^$B89)</f>
        <v>285988.71234400221</v>
      </c>
      <c r="S90" s="14">
        <f>(S$6*(1+0.02*$B89)+S$8)*((1+'User Inputs'!$E$12)^$B89)</f>
        <v>281432.43357082055</v>
      </c>
      <c r="T90" s="14">
        <f>(T$6*(1+0.02*$B89)+T$8)*((1+'User Inputs'!$E$12)^$B89)</f>
        <v>257307.17414109519</v>
      </c>
      <c r="U90" s="4" t="s">
        <v>42</v>
      </c>
      <c r="V90" s="33">
        <v>21</v>
      </c>
      <c r="W90" s="14">
        <f>(W$6*(1+0.02*$B89)+W$8)*((1+'User Inputs'!$E$12)^$B89)</f>
        <v>605367.96979695081</v>
      </c>
      <c r="X90" s="14">
        <f>(X$6*(1+0.02*$B89)+X$8)*((1+'User Inputs'!$E$12)^$B89)</f>
        <v>576811.07109147636</v>
      </c>
      <c r="Y90" s="14">
        <f>(Y$6*(1+0.02*$B89)+Y$8)*((1+'User Inputs'!$E$12)^$B89)</f>
        <v>802763.12516973005</v>
      </c>
      <c r="Z90" s="14">
        <f>(Z$6*(1+0.02*$B89)+Z$8)*((1+'User Inputs'!$E$12)^$B89)</f>
        <v>446130.38509887335</v>
      </c>
      <c r="AA90" s="14">
        <f>(AA$6*(1+0.02*$B89)+AA$8)*((1+'User Inputs'!$E$12)^$B89)</f>
        <v>655163.92126795766</v>
      </c>
      <c r="AB90" s="14">
        <f>(AB$6*(1+0.02*$B89)+AB$8)*((1+'User Inputs'!$E$12)^$B89)</f>
        <v>484775.36330305506</v>
      </c>
      <c r="AC90" s="14">
        <f>(AC$6*(1+0.02*$B89)+AC$8)*((1+'User Inputs'!$E$12)^$B89)</f>
        <v>826220.03738563473</v>
      </c>
      <c r="AD90" s="14">
        <f>(AD$6*(1+0.02*$B89)+AD$8)*((1+'User Inputs'!$E$12)^$B89)</f>
        <v>620054.70288434741</v>
      </c>
    </row>
    <row r="91" spans="1:30" x14ac:dyDescent="0.25">
      <c r="A91" s="4" t="s">
        <v>42</v>
      </c>
      <c r="B91" s="33">
        <v>22</v>
      </c>
      <c r="C91" s="14">
        <f>(C$6*(1+0.02*$B90)+C$8)*((1+'User Inputs'!$E$12)^$B90)</f>
        <v>486743.61472724297</v>
      </c>
      <c r="D91" s="14">
        <f>(D$6*(1+0.02*$B90)+D$8)*((1+'User Inputs'!$E$12)^$B90)</f>
        <v>473533.85316628992</v>
      </c>
      <c r="E91" s="14">
        <f>(E$6*(1+0.02*$B90)+E$8)*((1+'User Inputs'!$E$12)^$B90)</f>
        <v>584421.68594739679</v>
      </c>
      <c r="F91" s="14">
        <f>(F$6*(1+0.02*$B90)+F$8)*((1+'User Inputs'!$E$12)^$B90)</f>
        <v>371244.47452189488</v>
      </c>
      <c r="G91" s="14">
        <f>(G$6*(1+0.02*$B90)+G$8)*((1+'User Inputs'!$E$12)^$B90)</f>
        <v>487177.63175765419</v>
      </c>
      <c r="H91" s="14">
        <f>(H$6*(1+0.02*$B90)+H$8)*((1+'User Inputs'!$E$12)^$B90)</f>
        <v>395365.58288995893</v>
      </c>
      <c r="I91" s="14">
        <f>(I$6*(1+0.02*$B90)+I$8)*((1+'User Inputs'!$E$12)^$B90)</f>
        <v>569633.137092149</v>
      </c>
      <c r="J91" s="14">
        <f>(J$6*(1+0.02*$B90)+J$8)*((1+'User Inputs'!$E$12)^$B90)</f>
        <v>450507.10271726374</v>
      </c>
      <c r="K91" s="4" t="s">
        <v>42</v>
      </c>
      <c r="L91" s="33">
        <v>22</v>
      </c>
      <c r="M91" s="14">
        <f>(M$6*(1+0.02*$B90)+M$8)*((1+'User Inputs'!$E$12)^$B90)</f>
        <v>350530.48665716656</v>
      </c>
      <c r="N91" s="14">
        <f>(N$6*(1+0.02*$B90)+N$8)*((1+'User Inputs'!$E$12)^$B90)</f>
        <v>353655.11502455262</v>
      </c>
      <c r="O91" s="14">
        <f>(O$6*(1+0.02*$B90)+O$8)*((1+'User Inputs'!$E$12)^$B90)</f>
        <v>341667.24121037894</v>
      </c>
      <c r="P91" s="14">
        <f>(P$6*(1+0.02*$B90)+P$8)*((1+'User Inputs'!$E$12)^$B90)</f>
        <v>284274.86172982416</v>
      </c>
      <c r="Q91" s="14">
        <f>(Q$6*(1+0.02*$B90)+Q$8)*((1+'User Inputs'!$E$12)^$B90)</f>
        <v>299881.05206755595</v>
      </c>
      <c r="R91" s="14">
        <f>(R$6*(1+0.02*$B90)+R$8)*((1+'User Inputs'!$E$12)^$B90)</f>
        <v>292536.08815814031</v>
      </c>
      <c r="S91" s="14">
        <f>(S$6*(1+0.02*$B90)+S$8)*((1+'User Inputs'!$E$12)^$B90)</f>
        <v>287822.29231880012</v>
      </c>
      <c r="T91" s="14">
        <f>(T$6*(1+0.02*$B90)+T$8)*((1+'User Inputs'!$E$12)^$B90)</f>
        <v>262862.98820593284</v>
      </c>
      <c r="U91" s="4" t="s">
        <v>42</v>
      </c>
      <c r="V91" s="33">
        <v>22</v>
      </c>
      <c r="W91" s="14">
        <f>(W$6*(1+0.02*$B90)+W$8)*((1+'User Inputs'!$E$12)^$B90)</f>
        <v>622956.74279731943</v>
      </c>
      <c r="X91" s="14">
        <f>(X$6*(1+0.02*$B90)+X$8)*((1+'User Inputs'!$E$12)^$B90)</f>
        <v>593412.59130802716</v>
      </c>
      <c r="Y91" s="14">
        <f>(Y$6*(1+0.02*$B90)+Y$8)*((1+'User Inputs'!$E$12)^$B90)</f>
        <v>827176.13068441476</v>
      </c>
      <c r="Z91" s="14">
        <f>(Z$6*(1+0.02*$B90)+Z$8)*((1+'User Inputs'!$E$12)^$B90)</f>
        <v>458214.08731396555</v>
      </c>
      <c r="AA91" s="14">
        <f>(AA$6*(1+0.02*$B90)+AA$8)*((1+'User Inputs'!$E$12)^$B90)</f>
        <v>674474.21144775255</v>
      </c>
      <c r="AB91" s="14">
        <f>(AB$6*(1+0.02*$B90)+AB$8)*((1+'User Inputs'!$E$12)^$B90)</f>
        <v>498195.0776217776</v>
      </c>
      <c r="AC91" s="14">
        <f>(AC$6*(1+0.02*$B90)+AC$8)*((1+'User Inputs'!$E$12)^$B90)</f>
        <v>851443.981865498</v>
      </c>
      <c r="AD91" s="14">
        <f>(AD$6*(1+0.02*$B90)+AD$8)*((1+'User Inputs'!$E$12)^$B90)</f>
        <v>638151.21722859459</v>
      </c>
    </row>
    <row r="92" spans="1:30" x14ac:dyDescent="0.25">
      <c r="A92" s="4" t="s">
        <v>42</v>
      </c>
      <c r="B92" s="33">
        <v>23</v>
      </c>
      <c r="C92" s="14">
        <f>(C$6*(1+0.02*$B91)+C$8)*((1+'User Inputs'!$E$12)^$B91)</f>
        <v>500112.66424152476</v>
      </c>
      <c r="D92" s="14">
        <f>(D$6*(1+0.02*$B91)+D$8)*((1+'User Inputs'!$E$12)^$B91)</f>
        <v>486448.93341002619</v>
      </c>
      <c r="E92" s="14">
        <f>(E$6*(1+0.02*$B91)+E$8)*((1+'User Inputs'!$E$12)^$B91)</f>
        <v>601147.55931769509</v>
      </c>
      <c r="F92" s="14">
        <f>(F$6*(1+0.02*$B91)+F$8)*((1+'User Inputs'!$E$12)^$B91)</f>
        <v>380644.25780940126</v>
      </c>
      <c r="G92" s="14">
        <f>(G$6*(1+0.02*$B91)+G$8)*((1+'User Inputs'!$E$12)^$B91)</f>
        <v>500561.59678678389</v>
      </c>
      <c r="H92" s="14">
        <f>(H$6*(1+0.02*$B91)+H$8)*((1+'User Inputs'!$E$12)^$B91)</f>
        <v>405594.31694391707</v>
      </c>
      <c r="I92" s="14">
        <f>(I$6*(1+0.02*$B91)+I$8)*((1+'User Inputs'!$E$12)^$B91)</f>
        <v>585850.78427643597</v>
      </c>
      <c r="J92" s="14">
        <f>(J$6*(1+0.02*$B91)+J$8)*((1+'User Inputs'!$E$12)^$B91)</f>
        <v>462630.84111458273</v>
      </c>
      <c r="K92" s="4" t="s">
        <v>42</v>
      </c>
      <c r="L92" s="33">
        <v>23</v>
      </c>
      <c r="M92" s="14">
        <f>(M$6*(1+0.02*$B91)+M$8)*((1+'User Inputs'!$E$12)^$B91)</f>
        <v>359218.4089532654</v>
      </c>
      <c r="N92" s="14">
        <f>(N$6*(1+0.02*$B91)+N$8)*((1+'User Inputs'!$E$12)^$B91)</f>
        <v>362450.41891524894</v>
      </c>
      <c r="O92" s="14">
        <f>(O$6*(1+0.02*$B91)+O$8)*((1+'User Inputs'!$E$12)^$B91)</f>
        <v>350050.56746577122</v>
      </c>
      <c r="P92" s="14">
        <f>(P$6*(1+0.02*$B91)+P$8)*((1+'User Inputs'!$E$12)^$B91)</f>
        <v>290685.83015518048</v>
      </c>
      <c r="Q92" s="14">
        <f>(Q$6*(1+0.02*$B91)+Q$8)*((1+'User Inputs'!$E$12)^$B91)</f>
        <v>306828.34590733575</v>
      </c>
      <c r="R92" s="14">
        <f>(R$6*(1+0.02*$B91)+R$8)*((1+'User Inputs'!$E$12)^$B91)</f>
        <v>299230.96351990639</v>
      </c>
      <c r="S92" s="14">
        <f>(S$6*(1+0.02*$B91)+S$8)*((1+'User Inputs'!$E$12)^$B91)</f>
        <v>294355.17244327057</v>
      </c>
      <c r="T92" s="14">
        <f>(T$6*(1+0.02*$B91)+T$8)*((1+'User Inputs'!$E$12)^$B91)</f>
        <v>268538.11196370755</v>
      </c>
      <c r="U92" s="4" t="s">
        <v>42</v>
      </c>
      <c r="V92" s="33">
        <v>23</v>
      </c>
      <c r="W92" s="14">
        <f>(W$6*(1+0.02*$B91)+W$8)*((1+'User Inputs'!$E$12)^$B91)</f>
        <v>641006.91952978401</v>
      </c>
      <c r="X92" s="14">
        <f>(X$6*(1+0.02*$B91)+X$8)*((1+'User Inputs'!$E$12)^$B91)</f>
        <v>610447.44790480344</v>
      </c>
      <c r="Y92" s="14">
        <f>(Y$6*(1+0.02*$B91)+Y$8)*((1+'User Inputs'!$E$12)^$B91)</f>
        <v>852244.55116961908</v>
      </c>
      <c r="Z92" s="14">
        <f>(Z$6*(1+0.02*$B91)+Z$8)*((1+'User Inputs'!$E$12)^$B91)</f>
        <v>470602.68546362198</v>
      </c>
      <c r="AA92" s="14">
        <f>(AA$6*(1+0.02*$B91)+AA$8)*((1+'User Inputs'!$E$12)^$B91)</f>
        <v>694294.84766623203</v>
      </c>
      <c r="AB92" s="14">
        <f>(AB$6*(1+0.02*$B91)+AB$8)*((1+'User Inputs'!$E$12)^$B91)</f>
        <v>511957.67036792787</v>
      </c>
      <c r="AC92" s="14">
        <f>(AC$6*(1+0.02*$B91)+AC$8)*((1+'User Inputs'!$E$12)^$B91)</f>
        <v>877346.39610960137</v>
      </c>
      <c r="AD92" s="14">
        <f>(AD$6*(1+0.02*$B91)+AD$8)*((1+'User Inputs'!$E$12)^$B91)</f>
        <v>656723.57026545797</v>
      </c>
    </row>
    <row r="93" spans="1:30" x14ac:dyDescent="0.25">
      <c r="A93" s="4" t="s">
        <v>42</v>
      </c>
      <c r="B93" s="33">
        <v>24</v>
      </c>
      <c r="C93" s="14">
        <f>(C$6*(1+0.02*$B92)+C$8)*((1+'User Inputs'!$E$12)^$B92)</f>
        <v>513821.77829048672</v>
      </c>
      <c r="D93" s="14">
        <f>(D$6*(1+0.02*$B92)+D$8)*((1+'User Inputs'!$E$12)^$B92)</f>
        <v>499691.20332224527</v>
      </c>
      <c r="E93" s="14">
        <f>(E$6*(1+0.02*$B92)+E$8)*((1+'User Inputs'!$E$12)^$B92)</f>
        <v>618308.69894842629</v>
      </c>
      <c r="F93" s="14">
        <f>(F$6*(1+0.02*$B92)+F$8)*((1+'User Inputs'!$E$12)^$B92)</f>
        <v>390271.53463859903</v>
      </c>
      <c r="G93" s="14">
        <f>(G$6*(1+0.02*$B92)+G$8)*((1+'User Inputs'!$E$12)^$B92)</f>
        <v>514286.04936437553</v>
      </c>
      <c r="H93" s="14">
        <f>(H$6*(1+0.02*$B92)+H$8)*((1+'User Inputs'!$E$12)^$B92)</f>
        <v>416074.05412687757</v>
      </c>
      <c r="I93" s="14">
        <f>(I$6*(1+0.02*$B92)+I$8)*((1+'User Inputs'!$E$12)^$B92)</f>
        <v>602489.28409325751</v>
      </c>
      <c r="J93" s="14">
        <f>(J$6*(1+0.02*$B92)+J$8)*((1+'User Inputs'!$E$12)^$B92)</f>
        <v>475059.32620670763</v>
      </c>
      <c r="K93" s="4" t="s">
        <v>42</v>
      </c>
      <c r="L93" s="33">
        <v>24</v>
      </c>
      <c r="M93" s="14">
        <f>(M$6*(1+0.02*$B92)+M$8)*((1+'User Inputs'!$E$12)^$B92)</f>
        <v>368113.63594654523</v>
      </c>
      <c r="N93" s="14">
        <f>(N$6*(1+0.02*$B92)+N$8)*((1+'User Inputs'!$E$12)^$B92)</f>
        <v>371456.07291556319</v>
      </c>
      <c r="O93" s="14">
        <f>(O$6*(1+0.02*$B92)+O$8)*((1+'User Inputs'!$E$12)^$B92)</f>
        <v>358632.55987489497</v>
      </c>
      <c r="P93" s="14">
        <f>(P$6*(1+0.02*$B92)+P$8)*((1+'User Inputs'!$E$12)^$B92)</f>
        <v>297239.52737285907</v>
      </c>
      <c r="Q93" s="14">
        <f>(Q$6*(1+0.02*$B92)+Q$8)*((1+'User Inputs'!$E$12)^$B92)</f>
        <v>313933.57907987962</v>
      </c>
      <c r="R93" s="14">
        <f>(R$6*(1+0.02*$B92)+R$8)*((1+'User Inputs'!$E$12)^$B92)</f>
        <v>306076.61946087977</v>
      </c>
      <c r="S93" s="14">
        <f>(S$6*(1+0.02*$B92)+S$8)*((1+'User Inputs'!$E$12)^$B92)</f>
        <v>301034.23885579221</v>
      </c>
      <c r="T93" s="14">
        <f>(T$6*(1+0.02*$B92)+T$8)*((1+'User Inputs'!$E$12)^$B92)</f>
        <v>274335.09547651082</v>
      </c>
      <c r="U93" s="4" t="s">
        <v>42</v>
      </c>
      <c r="V93" s="33">
        <v>24</v>
      </c>
      <c r="W93" s="14">
        <f>(W$6*(1+0.02*$B92)+W$8)*((1+'User Inputs'!$E$12)^$B92)</f>
        <v>659529.92063442816</v>
      </c>
      <c r="X93" s="14">
        <f>(X$6*(1+0.02*$B92)+X$8)*((1+'User Inputs'!$E$12)^$B92)</f>
        <v>627926.33372892742</v>
      </c>
      <c r="Y93" s="14">
        <f>(Y$6*(1+0.02*$B92)+Y$8)*((1+'User Inputs'!$E$12)^$B92)</f>
        <v>877984.83802195766</v>
      </c>
      <c r="Z93" s="14">
        <f>(Z$6*(1+0.02*$B92)+Z$8)*((1+'User Inputs'!$E$12)^$B92)</f>
        <v>483303.54190433887</v>
      </c>
      <c r="AA93" s="14">
        <f>(AA$6*(1+0.02*$B92)+AA$8)*((1+'User Inputs'!$E$12)^$B92)</f>
        <v>714638.5196488715</v>
      </c>
      <c r="AB93" s="14">
        <f>(AB$6*(1+0.02*$B92)+AB$8)*((1+'User Inputs'!$E$12)^$B92)</f>
        <v>526071.48879287532</v>
      </c>
      <c r="AC93" s="14">
        <f>(AC$6*(1+0.02*$B92)+AC$8)*((1+'User Inputs'!$E$12)^$B92)</f>
        <v>903944.3293307228</v>
      </c>
      <c r="AD93" s="14">
        <f>(AD$6*(1+0.02*$B92)+AD$8)*((1+'User Inputs'!$E$12)^$B92)</f>
        <v>675783.55693690432</v>
      </c>
    </row>
    <row r="94" spans="1:30" x14ac:dyDescent="0.25">
      <c r="A94" s="4" t="s">
        <v>42</v>
      </c>
      <c r="B94" s="33">
        <v>25</v>
      </c>
      <c r="C94" s="14">
        <f>(C$6*(1+0.02*$B93)+C$8)*((1+'User Inputs'!$E$12)^$B93)</f>
        <v>527879.21183571068</v>
      </c>
      <c r="D94" s="14">
        <f>(D$6*(1+0.02*$B93)+D$8)*((1+'User Inputs'!$E$12)^$B93)</f>
        <v>513268.58445758931</v>
      </c>
      <c r="E94" s="14">
        <f>(E$6*(1+0.02*$B93)+E$8)*((1+'User Inputs'!$E$12)^$B93)</f>
        <v>635915.8251406597</v>
      </c>
      <c r="F94" s="14">
        <f>(F$6*(1+0.02*$B93)+F$8)*((1+'User Inputs'!$E$12)^$B93)</f>
        <v>400131.64483784104</v>
      </c>
      <c r="G94" s="14">
        <f>(G$6*(1+0.02*$B93)+G$8)*((1+'User Inputs'!$E$12)^$B93)</f>
        <v>528359.25540635618</v>
      </c>
      <c r="H94" s="14">
        <f>(H$6*(1+0.02*$B93)+H$8)*((1+'User Inputs'!$E$12)^$B93)</f>
        <v>426810.7430703789</v>
      </c>
      <c r="I94" s="14">
        <f>(I$6*(1+0.02*$B93)+I$8)*((1+'User Inputs'!$E$12)^$B93)</f>
        <v>619558.98358904128</v>
      </c>
      <c r="J94" s="14">
        <f>(J$6*(1+0.02*$B93)+J$8)*((1+'User Inputs'!$E$12)^$B93)</f>
        <v>487799.89836607163</v>
      </c>
      <c r="K94" s="4" t="s">
        <v>42</v>
      </c>
      <c r="L94" s="33">
        <v>25</v>
      </c>
      <c r="M94" s="14">
        <f>(M$6*(1+0.02*$B93)+M$8)*((1+'User Inputs'!$E$12)^$B93)</f>
        <v>377220.98465597501</v>
      </c>
      <c r="N94" s="14">
        <f>(N$6*(1+0.02*$B93)+N$8)*((1+'User Inputs'!$E$12)^$B93)</f>
        <v>380676.97290832398</v>
      </c>
      <c r="O94" s="14">
        <f>(O$6*(1+0.02*$B93)+O$8)*((1+'User Inputs'!$E$12)^$B93)</f>
        <v>367417.81175339746</v>
      </c>
      <c r="P94" s="14">
        <f>(P$6*(1+0.02*$B93)+P$8)*((1+'User Inputs'!$E$12)^$B93)</f>
        <v>303939.09814718284</v>
      </c>
      <c r="Q94" s="14">
        <f>(Q$6*(1+0.02*$B93)+Q$8)*((1+'User Inputs'!$E$12)^$B93)</f>
        <v>321200.29024096241</v>
      </c>
      <c r="R94" s="14">
        <f>(R$6*(1+0.02*$B93)+R$8)*((1+'User Inputs'!$E$12)^$B93)</f>
        <v>313076.40925408422</v>
      </c>
      <c r="S94" s="14">
        <f>(S$6*(1+0.02*$B93)+S$8)*((1+'User Inputs'!$E$12)^$B93)</f>
        <v>307862.72585583752</v>
      </c>
      <c r="T94" s="14">
        <f>(T$6*(1+0.02*$B93)+T$8)*((1+'User Inputs'!$E$12)^$B93)</f>
        <v>280256.54308504076</v>
      </c>
      <c r="U94" s="4" t="s">
        <v>42</v>
      </c>
      <c r="V94" s="33">
        <v>25</v>
      </c>
      <c r="W94" s="14">
        <f>(W$6*(1+0.02*$B93)+W$8)*((1+'User Inputs'!$E$12)^$B93)</f>
        <v>678537.43901544635</v>
      </c>
      <c r="X94" s="14">
        <f>(X$6*(1+0.02*$B93)+X$8)*((1+'User Inputs'!$E$12)^$B93)</f>
        <v>645860.19600685465</v>
      </c>
      <c r="Y94" s="14">
        <f>(Y$6*(1+0.02*$B93)+Y$8)*((1+'User Inputs'!$E$12)^$B93)</f>
        <v>904413.83852792194</v>
      </c>
      <c r="Z94" s="14">
        <f>(Z$6*(1+0.02*$B93)+Z$8)*((1+'User Inputs'!$E$12)^$B93)</f>
        <v>496324.1915284993</v>
      </c>
      <c r="AA94" s="14">
        <f>(AA$6*(1+0.02*$B93)+AA$8)*((1+'User Inputs'!$E$12)^$B93)</f>
        <v>735518.22057175019</v>
      </c>
      <c r="AB94" s="14">
        <f>(AB$6*(1+0.02*$B93)+AB$8)*((1+'User Inputs'!$E$12)^$B93)</f>
        <v>540545.07688667357</v>
      </c>
      <c r="AC94" s="14">
        <f>(AC$6*(1+0.02*$B93)+AC$8)*((1+'User Inputs'!$E$12)^$B93)</f>
        <v>931255.24132224498</v>
      </c>
      <c r="AD94" s="14">
        <f>(AD$6*(1+0.02*$B93)+AD$8)*((1+'User Inputs'!$E$12)^$B93)</f>
        <v>695343.25364710251</v>
      </c>
    </row>
    <row r="96" spans="1:30" ht="30" x14ac:dyDescent="0.25">
      <c r="A96" s="38" t="s">
        <v>152</v>
      </c>
      <c r="B96" s="34"/>
      <c r="C96" s="37"/>
      <c r="K96" s="38" t="s">
        <v>152</v>
      </c>
      <c r="L96" s="34"/>
      <c r="M96" s="37"/>
      <c r="U96" s="38" t="s">
        <v>152</v>
      </c>
      <c r="V96" s="34"/>
      <c r="W96" s="37"/>
    </row>
    <row r="97" spans="1:30" x14ac:dyDescent="0.25">
      <c r="A97" s="4" t="s">
        <v>42</v>
      </c>
      <c r="B97" s="33">
        <v>0</v>
      </c>
      <c r="C97" s="14">
        <f>0</f>
        <v>0</v>
      </c>
      <c r="D97" s="14">
        <f>0</f>
        <v>0</v>
      </c>
      <c r="E97" s="14">
        <f>0</f>
        <v>0</v>
      </c>
      <c r="F97" s="14">
        <f>0</f>
        <v>0</v>
      </c>
      <c r="G97" s="14">
        <f>0</f>
        <v>0</v>
      </c>
      <c r="H97" s="14">
        <f>0</f>
        <v>0</v>
      </c>
      <c r="I97" s="14">
        <f>0</f>
        <v>0</v>
      </c>
      <c r="J97" s="14">
        <f>0</f>
        <v>0</v>
      </c>
      <c r="K97" s="4" t="s">
        <v>42</v>
      </c>
      <c r="L97" s="33">
        <v>0</v>
      </c>
      <c r="M97" s="14">
        <f>0</f>
        <v>0</v>
      </c>
      <c r="N97" s="14">
        <f>0</f>
        <v>0</v>
      </c>
      <c r="O97" s="14">
        <f>0</f>
        <v>0</v>
      </c>
      <c r="P97" s="14">
        <f>0</f>
        <v>0</v>
      </c>
      <c r="Q97" s="14">
        <f>0</f>
        <v>0</v>
      </c>
      <c r="R97" s="14">
        <f>0</f>
        <v>0</v>
      </c>
      <c r="S97" s="14">
        <f>0</f>
        <v>0</v>
      </c>
      <c r="T97" s="14">
        <f>0</f>
        <v>0</v>
      </c>
      <c r="U97" s="4" t="s">
        <v>42</v>
      </c>
      <c r="V97" s="33">
        <v>0</v>
      </c>
      <c r="W97" s="14">
        <f>0</f>
        <v>0</v>
      </c>
      <c r="X97" s="14">
        <f>0</f>
        <v>0</v>
      </c>
      <c r="Y97" s="14">
        <f>0</f>
        <v>0</v>
      </c>
      <c r="Z97" s="14">
        <f>0</f>
        <v>0</v>
      </c>
      <c r="AA97" s="14">
        <f>0</f>
        <v>0</v>
      </c>
      <c r="AB97" s="14">
        <f>0</f>
        <v>0</v>
      </c>
      <c r="AC97" s="14">
        <f>0</f>
        <v>0</v>
      </c>
      <c r="AD97" s="14">
        <f>0</f>
        <v>0</v>
      </c>
    </row>
    <row r="98" spans="1:30" x14ac:dyDescent="0.25">
      <c r="A98" s="4" t="s">
        <v>42</v>
      </c>
      <c r="B98" s="33">
        <v>1</v>
      </c>
      <c r="C98" s="14">
        <f>C$7</f>
        <v>62494.137931034486</v>
      </c>
      <c r="D98" s="14">
        <f t="shared" ref="D98:J98" si="64">D$7</f>
        <v>67703.298969072173</v>
      </c>
      <c r="E98" s="14">
        <f t="shared" si="64"/>
        <v>76288.824742268043</v>
      </c>
      <c r="F98" s="14">
        <f t="shared" si="64"/>
        <v>67138.125</v>
      </c>
      <c r="G98" s="14">
        <f t="shared" si="64"/>
        <v>89584.0625</v>
      </c>
      <c r="H98" s="14">
        <f t="shared" si="64"/>
        <v>74930.416666666672</v>
      </c>
      <c r="I98" s="14">
        <f t="shared" si="64"/>
        <v>127009.43877551021</v>
      </c>
      <c r="J98" s="14">
        <f t="shared" si="64"/>
        <v>127559.97959183673</v>
      </c>
      <c r="K98" s="4" t="s">
        <v>42</v>
      </c>
      <c r="L98" s="33">
        <v>1</v>
      </c>
      <c r="M98" s="14">
        <f t="shared" ref="M98:T98" si="65">M$7</f>
        <v>55303.448275862072</v>
      </c>
      <c r="N98" s="14">
        <f t="shared" si="65"/>
        <v>58421.649484536087</v>
      </c>
      <c r="O98" s="14">
        <f t="shared" si="65"/>
        <v>57493.484536082469</v>
      </c>
      <c r="P98" s="14">
        <f t="shared" si="65"/>
        <v>55751.556122448979</v>
      </c>
      <c r="Q98" s="14">
        <f t="shared" si="65"/>
        <v>59690.625</v>
      </c>
      <c r="R98" s="14">
        <f t="shared" si="65"/>
        <v>58518.333333333336</v>
      </c>
      <c r="S98" s="14">
        <f t="shared" si="65"/>
        <v>61670.71428571429</v>
      </c>
      <c r="T98" s="14">
        <f t="shared" si="65"/>
        <v>59664.448979591834</v>
      </c>
      <c r="U98" s="4" t="s">
        <v>42</v>
      </c>
      <c r="V98" s="33">
        <v>1</v>
      </c>
      <c r="W98" s="14">
        <f t="shared" ref="W98:AD98" si="66">W$7</f>
        <v>69684.827586206899</v>
      </c>
      <c r="X98" s="14">
        <f t="shared" si="66"/>
        <v>76984.948453608245</v>
      </c>
      <c r="Y98" s="14">
        <f t="shared" si="66"/>
        <v>95084.164948453603</v>
      </c>
      <c r="Z98" s="14">
        <f t="shared" si="66"/>
        <v>78524.693877551021</v>
      </c>
      <c r="AA98" s="14">
        <f t="shared" si="66"/>
        <v>119477.5</v>
      </c>
      <c r="AB98" s="14">
        <f t="shared" si="66"/>
        <v>91342.5</v>
      </c>
      <c r="AC98" s="14">
        <f t="shared" si="66"/>
        <v>192348.16326530612</v>
      </c>
      <c r="AD98" s="14">
        <f t="shared" si="66"/>
        <v>195455.51020408163</v>
      </c>
    </row>
    <row r="99" spans="1:30" x14ac:dyDescent="0.25">
      <c r="A99" s="4" t="s">
        <v>42</v>
      </c>
      <c r="B99" s="33">
        <v>2</v>
      </c>
      <c r="C99" s="14">
        <f>C$7*((1+'User Inputs'!$E$12)^$B98)</f>
        <v>63744.020689655175</v>
      </c>
      <c r="D99" s="14">
        <f>D$7*((1+'User Inputs'!$E$12)^$B98)</f>
        <v>69057.364948453614</v>
      </c>
      <c r="E99" s="14">
        <f>E$7*((1+'User Inputs'!$E$12)^$B98)</f>
        <v>77814.601237113398</v>
      </c>
      <c r="F99" s="14">
        <f>F$7*((1+'User Inputs'!$E$12)^$B98)</f>
        <v>68480.887499999997</v>
      </c>
      <c r="G99" s="14">
        <f>G$7*((1+'User Inputs'!$E$12)^$B98)</f>
        <v>91375.743750000009</v>
      </c>
      <c r="H99" s="14">
        <f>H$7*((1+'User Inputs'!$E$12)^$B98)</f>
        <v>76429.025000000009</v>
      </c>
      <c r="I99" s="14">
        <f>I$7*((1+'User Inputs'!$E$12)^$B98)</f>
        <v>129549.62755102041</v>
      </c>
      <c r="J99" s="14">
        <f>J$7*((1+'User Inputs'!$E$12)^$B98)</f>
        <v>130111.17918367346</v>
      </c>
      <c r="K99" s="4" t="s">
        <v>42</v>
      </c>
      <c r="L99" s="33">
        <v>2</v>
      </c>
      <c r="M99" s="14">
        <f>M$7*((1+'User Inputs'!$E$12)^$B98)</f>
        <v>56409.517241379312</v>
      </c>
      <c r="N99" s="14">
        <f>N$7*((1+'User Inputs'!$E$12)^$B98)</f>
        <v>59590.082474226809</v>
      </c>
      <c r="O99" s="14">
        <f>O$7*((1+'User Inputs'!$E$12)^$B98)</f>
        <v>58643.35422680412</v>
      </c>
      <c r="P99" s="14">
        <f>P$7*((1+'User Inputs'!$E$12)^$B98)</f>
        <v>56866.587244897957</v>
      </c>
      <c r="Q99" s="14">
        <f>Q$7*((1+'User Inputs'!$E$12)^$B98)</f>
        <v>60884.4375</v>
      </c>
      <c r="R99" s="14">
        <f>R$7*((1+'User Inputs'!$E$12)^$B98)</f>
        <v>59688.700000000004</v>
      </c>
      <c r="S99" s="14">
        <f>S$7*((1+'User Inputs'!$E$12)^$B98)</f>
        <v>62904.128571428577</v>
      </c>
      <c r="T99" s="14">
        <f>T$7*((1+'User Inputs'!$E$12)^$B98)</f>
        <v>60857.737959183673</v>
      </c>
      <c r="U99" s="4" t="s">
        <v>42</v>
      </c>
      <c r="V99" s="33">
        <v>2</v>
      </c>
      <c r="W99" s="14">
        <f>W$7*((1+'User Inputs'!$E$12)^$B98)</f>
        <v>71078.524137931032</v>
      </c>
      <c r="X99" s="14">
        <f>X$7*((1+'User Inputs'!$E$12)^$B98)</f>
        <v>78524.647422680413</v>
      </c>
      <c r="Y99" s="14">
        <f>Y$7*((1+'User Inputs'!$E$12)^$B98)</f>
        <v>96985.848247422677</v>
      </c>
      <c r="Z99" s="14">
        <f>Z$7*((1+'User Inputs'!$E$12)^$B98)</f>
        <v>80095.187755102044</v>
      </c>
      <c r="AA99" s="14">
        <f>AA$7*((1+'User Inputs'!$E$12)^$B98)</f>
        <v>121867.05</v>
      </c>
      <c r="AB99" s="14">
        <f>AB$7*((1+'User Inputs'!$E$12)^$B98)</f>
        <v>93169.35</v>
      </c>
      <c r="AC99" s="14">
        <f>AC$7*((1+'User Inputs'!$E$12)^$B98)</f>
        <v>196195.12653061224</v>
      </c>
      <c r="AD99" s="14">
        <f>AD$7*((1+'User Inputs'!$E$12)^$B98)</f>
        <v>199364.62040816326</v>
      </c>
    </row>
    <row r="100" spans="1:30" x14ac:dyDescent="0.25">
      <c r="A100" s="4" t="s">
        <v>42</v>
      </c>
      <c r="B100" s="33">
        <v>3</v>
      </c>
      <c r="C100" s="14">
        <f>C$7*((1+'User Inputs'!$E$12)^$B99)</f>
        <v>65018.901103448276</v>
      </c>
      <c r="D100" s="14">
        <f>D$7*((1+'User Inputs'!$E$12)^$B99)</f>
        <v>70438.512247422696</v>
      </c>
      <c r="E100" s="14">
        <f>E$7*((1+'User Inputs'!$E$12)^$B99)</f>
        <v>79370.893261855672</v>
      </c>
      <c r="F100" s="14">
        <f>F$7*((1+'User Inputs'!$E$12)^$B99)</f>
        <v>69850.505250000002</v>
      </c>
      <c r="G100" s="14">
        <f>G$7*((1+'User Inputs'!$E$12)^$B99)</f>
        <v>93203.258625000002</v>
      </c>
      <c r="H100" s="14">
        <f>H$7*((1+'User Inputs'!$E$12)^$B99)</f>
        <v>77957.605500000005</v>
      </c>
      <c r="I100" s="14">
        <f>I$7*((1+'User Inputs'!$E$12)^$B99)</f>
        <v>132140.62010204082</v>
      </c>
      <c r="J100" s="14">
        <f>J$7*((1+'User Inputs'!$E$12)^$B99)</f>
        <v>132713.40276734694</v>
      </c>
      <c r="K100" s="4" t="s">
        <v>42</v>
      </c>
      <c r="L100" s="33">
        <v>3</v>
      </c>
      <c r="M100" s="14">
        <f>M$7*((1+'User Inputs'!$E$12)^$B99)</f>
        <v>57537.707586206903</v>
      </c>
      <c r="N100" s="14">
        <f>N$7*((1+'User Inputs'!$E$12)^$B99)</f>
        <v>60781.884123711345</v>
      </c>
      <c r="O100" s="14">
        <f>O$7*((1+'User Inputs'!$E$12)^$B99)</f>
        <v>59816.221311340203</v>
      </c>
      <c r="P100" s="14">
        <f>P$7*((1+'User Inputs'!$E$12)^$B99)</f>
        <v>58003.918989795915</v>
      </c>
      <c r="Q100" s="14">
        <f>Q$7*((1+'User Inputs'!$E$12)^$B99)</f>
        <v>62102.126250000001</v>
      </c>
      <c r="R100" s="14">
        <f>R$7*((1+'User Inputs'!$E$12)^$B99)</f>
        <v>60882.474000000002</v>
      </c>
      <c r="S100" s="14">
        <f>S$7*((1+'User Inputs'!$E$12)^$B99)</f>
        <v>64162.211142857144</v>
      </c>
      <c r="T100" s="14">
        <f>T$7*((1+'User Inputs'!$E$12)^$B99)</f>
        <v>62074.892718367344</v>
      </c>
      <c r="U100" s="4" t="s">
        <v>42</v>
      </c>
      <c r="V100" s="33">
        <v>3</v>
      </c>
      <c r="W100" s="14">
        <f>W$7*((1+'User Inputs'!$E$12)^$B99)</f>
        <v>72500.094620689662</v>
      </c>
      <c r="X100" s="14">
        <f>X$7*((1+'User Inputs'!$E$12)^$B99)</f>
        <v>80095.140371134024</v>
      </c>
      <c r="Y100" s="14">
        <f>Y$7*((1+'User Inputs'!$E$12)^$B99)</f>
        <v>98925.565212371133</v>
      </c>
      <c r="Z100" s="14">
        <f>Z$7*((1+'User Inputs'!$E$12)^$B99)</f>
        <v>81697.091510204074</v>
      </c>
      <c r="AA100" s="14">
        <f>AA$7*((1+'User Inputs'!$E$12)^$B99)</f>
        <v>124304.391</v>
      </c>
      <c r="AB100" s="14">
        <f>AB$7*((1+'User Inputs'!$E$12)^$B99)</f>
        <v>95032.736999999994</v>
      </c>
      <c r="AC100" s="14">
        <f>AC$7*((1+'User Inputs'!$E$12)^$B99)</f>
        <v>200119.02906122449</v>
      </c>
      <c r="AD100" s="14">
        <f>AD$7*((1+'User Inputs'!$E$12)^$B99)</f>
        <v>203351.91281632651</v>
      </c>
    </row>
    <row r="101" spans="1:30" x14ac:dyDescent="0.25">
      <c r="A101" s="4" t="s">
        <v>42</v>
      </c>
      <c r="B101" s="33">
        <v>4</v>
      </c>
      <c r="C101" s="14">
        <f>C$7*((1+'User Inputs'!$E$12)^$B100)</f>
        <v>66319.279125517234</v>
      </c>
      <c r="D101" s="14">
        <f>D$7*((1+'User Inputs'!$E$12)^$B100)</f>
        <v>71847.282492371145</v>
      </c>
      <c r="E101" s="14">
        <f>E$7*((1+'User Inputs'!$E$12)^$B100)</f>
        <v>80958.311127092777</v>
      </c>
      <c r="F101" s="14">
        <f>F$7*((1+'User Inputs'!$E$12)^$B100)</f>
        <v>71247.515354999996</v>
      </c>
      <c r="G101" s="14">
        <f>G$7*((1+'User Inputs'!$E$12)^$B100)</f>
        <v>95067.323797499994</v>
      </c>
      <c r="H101" s="14">
        <f>H$7*((1+'User Inputs'!$E$12)^$B100)</f>
        <v>79516.757610000001</v>
      </c>
      <c r="I101" s="14">
        <f>I$7*((1+'User Inputs'!$E$12)^$B100)</f>
        <v>134783.43250408163</v>
      </c>
      <c r="J101" s="14">
        <f>J$7*((1+'User Inputs'!$E$12)^$B100)</f>
        <v>135367.67082269385</v>
      </c>
      <c r="K101" s="4" t="s">
        <v>42</v>
      </c>
      <c r="L101" s="33">
        <v>4</v>
      </c>
      <c r="M101" s="14">
        <f>M$7*((1+'User Inputs'!$E$12)^$B100)</f>
        <v>58688.461737931037</v>
      </c>
      <c r="N101" s="14">
        <f>N$7*((1+'User Inputs'!$E$12)^$B100)</f>
        <v>61997.52180618557</v>
      </c>
      <c r="O101" s="14">
        <f>O$7*((1+'User Inputs'!$E$12)^$B100)</f>
        <v>61012.545737567001</v>
      </c>
      <c r="P101" s="14">
        <f>P$7*((1+'User Inputs'!$E$12)^$B100)</f>
        <v>59163.997369591831</v>
      </c>
      <c r="Q101" s="14">
        <f>Q$7*((1+'User Inputs'!$E$12)^$B100)</f>
        <v>63344.168774999998</v>
      </c>
      <c r="R101" s="14">
        <f>R$7*((1+'User Inputs'!$E$12)^$B100)</f>
        <v>62100.123480000002</v>
      </c>
      <c r="S101" s="14">
        <f>S$7*((1+'User Inputs'!$E$12)^$B100)</f>
        <v>65445.455365714282</v>
      </c>
      <c r="T101" s="14">
        <f>T$7*((1+'User Inputs'!$E$12)^$B100)</f>
        <v>63316.390572734686</v>
      </c>
      <c r="U101" s="4" t="s">
        <v>42</v>
      </c>
      <c r="V101" s="33">
        <v>4</v>
      </c>
      <c r="W101" s="14">
        <f>W$7*((1+'User Inputs'!$E$12)^$B100)</f>
        <v>73950.096513103446</v>
      </c>
      <c r="X101" s="14">
        <f>X$7*((1+'User Inputs'!$E$12)^$B100)</f>
        <v>81697.043178556691</v>
      </c>
      <c r="Y101" s="14">
        <f>Y$7*((1+'User Inputs'!$E$12)^$B100)</f>
        <v>100904.07651661854</v>
      </c>
      <c r="Z101" s="14">
        <f>Z$7*((1+'User Inputs'!$E$12)^$B100)</f>
        <v>83331.033340408161</v>
      </c>
      <c r="AA101" s="14">
        <f>AA$7*((1+'User Inputs'!$E$12)^$B100)</f>
        <v>126790.47881999999</v>
      </c>
      <c r="AB101" s="14">
        <f>AB$7*((1+'User Inputs'!$E$12)^$B100)</f>
        <v>96933.391739999992</v>
      </c>
      <c r="AC101" s="14">
        <f>AC$7*((1+'User Inputs'!$E$12)^$B100)</f>
        <v>204121.40964244897</v>
      </c>
      <c r="AD101" s="14">
        <f>AD$7*((1+'User Inputs'!$E$12)^$B100)</f>
        <v>207418.95107265303</v>
      </c>
    </row>
    <row r="102" spans="1:30" x14ac:dyDescent="0.25">
      <c r="A102" s="4" t="s">
        <v>42</v>
      </c>
      <c r="B102" s="33">
        <v>5</v>
      </c>
      <c r="C102" s="14">
        <f>C$7*((1+'User Inputs'!$E$12)^$B101)</f>
        <v>67645.664708027587</v>
      </c>
      <c r="D102" s="14">
        <f>D$7*((1+'User Inputs'!$E$12)^$B101)</f>
        <v>73284.228142218562</v>
      </c>
      <c r="E102" s="14">
        <f>E$7*((1+'User Inputs'!$E$12)^$B101)</f>
        <v>82577.477349634646</v>
      </c>
      <c r="F102" s="14">
        <f>F$7*((1+'User Inputs'!$E$12)^$B101)</f>
        <v>72672.465662100003</v>
      </c>
      <c r="G102" s="14">
        <f>G$7*((1+'User Inputs'!$E$12)^$B101)</f>
        <v>96968.67027345</v>
      </c>
      <c r="H102" s="14">
        <f>H$7*((1+'User Inputs'!$E$12)^$B101)</f>
        <v>81107.092762200002</v>
      </c>
      <c r="I102" s="14">
        <f>I$7*((1+'User Inputs'!$E$12)^$B101)</f>
        <v>137479.10115416328</v>
      </c>
      <c r="J102" s="14">
        <f>J$7*((1+'User Inputs'!$E$12)^$B101)</f>
        <v>138075.02423914775</v>
      </c>
      <c r="K102" s="4" t="s">
        <v>42</v>
      </c>
      <c r="L102" s="33">
        <v>5</v>
      </c>
      <c r="M102" s="14">
        <f>M$7*((1+'User Inputs'!$E$12)^$B101)</f>
        <v>59862.230972689656</v>
      </c>
      <c r="N102" s="14">
        <f>N$7*((1+'User Inputs'!$E$12)^$B101)</f>
        <v>63237.472242309283</v>
      </c>
      <c r="O102" s="14">
        <f>O$7*((1+'User Inputs'!$E$12)^$B101)</f>
        <v>62232.796652318342</v>
      </c>
      <c r="P102" s="14">
        <f>P$7*((1+'User Inputs'!$E$12)^$B101)</f>
        <v>60347.277316983673</v>
      </c>
      <c r="Q102" s="14">
        <f>Q$7*((1+'User Inputs'!$E$12)^$B101)</f>
        <v>64611.0521505</v>
      </c>
      <c r="R102" s="14">
        <f>R$7*((1+'User Inputs'!$E$12)^$B101)</f>
        <v>63342.125949599998</v>
      </c>
      <c r="S102" s="14">
        <f>S$7*((1+'User Inputs'!$E$12)^$B101)</f>
        <v>66754.364473028574</v>
      </c>
      <c r="T102" s="14">
        <f>T$7*((1+'User Inputs'!$E$12)^$B101)</f>
        <v>64582.718384189386</v>
      </c>
      <c r="U102" s="4" t="s">
        <v>42</v>
      </c>
      <c r="V102" s="33">
        <v>5</v>
      </c>
      <c r="W102" s="14">
        <f>W$7*((1+'User Inputs'!$E$12)^$B101)</f>
        <v>75429.098443365525</v>
      </c>
      <c r="X102" s="14">
        <f>X$7*((1+'User Inputs'!$E$12)^$B101)</f>
        <v>83330.984042127835</v>
      </c>
      <c r="Y102" s="14">
        <f>Y$7*((1+'User Inputs'!$E$12)^$B101)</f>
        <v>102922.15804695092</v>
      </c>
      <c r="Z102" s="14">
        <f>Z$7*((1+'User Inputs'!$E$12)^$B101)</f>
        <v>84997.654007216319</v>
      </c>
      <c r="AA102" s="14">
        <f>AA$7*((1+'User Inputs'!$E$12)^$B101)</f>
        <v>129326.28839639999</v>
      </c>
      <c r="AB102" s="14">
        <f>AB$7*((1+'User Inputs'!$E$12)^$B101)</f>
        <v>98872.059574800005</v>
      </c>
      <c r="AC102" s="14">
        <f>AC$7*((1+'User Inputs'!$E$12)^$B101)</f>
        <v>208203.83783529795</v>
      </c>
      <c r="AD102" s="14">
        <f>AD$7*((1+'User Inputs'!$E$12)^$B101)</f>
        <v>211567.33009410612</v>
      </c>
    </row>
    <row r="103" spans="1:30" x14ac:dyDescent="0.25">
      <c r="A103" s="4" t="s">
        <v>42</v>
      </c>
      <c r="B103" s="33">
        <v>6</v>
      </c>
      <c r="C103" s="14">
        <f>C$7*((1+'User Inputs'!$E$12)^$B102)</f>
        <v>68998.578002188136</v>
      </c>
      <c r="D103" s="14">
        <f>D$7*((1+'User Inputs'!$E$12)^$B102)</f>
        <v>74749.912705062932</v>
      </c>
      <c r="E103" s="14">
        <f>E$7*((1+'User Inputs'!$E$12)^$B102)</f>
        <v>84229.026896627329</v>
      </c>
      <c r="F103" s="14">
        <f>F$7*((1+'User Inputs'!$E$12)^$B102)</f>
        <v>74125.914975342006</v>
      </c>
      <c r="G103" s="14">
        <f>G$7*((1+'User Inputs'!$E$12)^$B102)</f>
        <v>98908.043678918999</v>
      </c>
      <c r="H103" s="14">
        <f>H$7*((1+'User Inputs'!$E$12)^$B102)</f>
        <v>82729.234617444003</v>
      </c>
      <c r="I103" s="14">
        <f>I$7*((1+'User Inputs'!$E$12)^$B102)</f>
        <v>140228.68317724654</v>
      </c>
      <c r="J103" s="14">
        <f>J$7*((1+'User Inputs'!$E$12)^$B102)</f>
        <v>140836.52472393072</v>
      </c>
      <c r="K103" s="4" t="s">
        <v>42</v>
      </c>
      <c r="L103" s="33">
        <v>6</v>
      </c>
      <c r="M103" s="14">
        <f>M$7*((1+'User Inputs'!$E$12)^$B102)</f>
        <v>61059.475592143455</v>
      </c>
      <c r="N103" s="14">
        <f>N$7*((1+'User Inputs'!$E$12)^$B102)</f>
        <v>64502.22168715547</v>
      </c>
      <c r="O103" s="14">
        <f>O$7*((1+'User Inputs'!$E$12)^$B102)</f>
        <v>63477.452585364714</v>
      </c>
      <c r="P103" s="14">
        <f>P$7*((1+'User Inputs'!$E$12)^$B102)</f>
        <v>61554.222863323346</v>
      </c>
      <c r="Q103" s="14">
        <f>Q$7*((1+'User Inputs'!$E$12)^$B102)</f>
        <v>65903.273193510002</v>
      </c>
      <c r="R103" s="14">
        <f>R$7*((1+'User Inputs'!$E$12)^$B102)</f>
        <v>64608.968468592</v>
      </c>
      <c r="S103" s="14">
        <f>S$7*((1+'User Inputs'!$E$12)^$B102)</f>
        <v>68089.451762489145</v>
      </c>
      <c r="T103" s="14">
        <f>T$7*((1+'User Inputs'!$E$12)^$B102)</f>
        <v>65874.372751873176</v>
      </c>
      <c r="U103" s="4" t="s">
        <v>42</v>
      </c>
      <c r="V103" s="33">
        <v>6</v>
      </c>
      <c r="W103" s="14">
        <f>W$7*((1+'User Inputs'!$E$12)^$B102)</f>
        <v>76937.680412232832</v>
      </c>
      <c r="X103" s="14">
        <f>X$7*((1+'User Inputs'!$E$12)^$B102)</f>
        <v>84997.603722970394</v>
      </c>
      <c r="Y103" s="14">
        <f>Y$7*((1+'User Inputs'!$E$12)^$B102)</f>
        <v>104980.60120788994</v>
      </c>
      <c r="Z103" s="14">
        <f>Z$7*((1+'User Inputs'!$E$12)^$B102)</f>
        <v>86697.607087360651</v>
      </c>
      <c r="AA103" s="14">
        <f>AA$7*((1+'User Inputs'!$E$12)^$B102)</f>
        <v>131912.81416432801</v>
      </c>
      <c r="AB103" s="14">
        <f>AB$7*((1+'User Inputs'!$E$12)^$B102)</f>
        <v>100849.500766296</v>
      </c>
      <c r="AC103" s="14">
        <f>AC$7*((1+'User Inputs'!$E$12)^$B102)</f>
        <v>212367.91459200392</v>
      </c>
      <c r="AD103" s="14">
        <f>AD$7*((1+'User Inputs'!$E$12)^$B102)</f>
        <v>215798.67669598825</v>
      </c>
    </row>
    <row r="104" spans="1:30" x14ac:dyDescent="0.25">
      <c r="A104" s="4" t="s">
        <v>42</v>
      </c>
      <c r="B104" s="33">
        <v>7</v>
      </c>
      <c r="C104" s="14">
        <f>C$7*((1+'User Inputs'!$E$12)^$B103)</f>
        <v>70378.549562231914</v>
      </c>
      <c r="D104" s="14">
        <f>D$7*((1+'User Inputs'!$E$12)^$B103)</f>
        <v>76244.910959164205</v>
      </c>
      <c r="E104" s="14">
        <f>E$7*((1+'User Inputs'!$E$12)^$B103)</f>
        <v>85913.60743455989</v>
      </c>
      <c r="F104" s="14">
        <f>F$7*((1+'User Inputs'!$E$12)^$B103)</f>
        <v>75608.433274848838</v>
      </c>
      <c r="G104" s="14">
        <f>G$7*((1+'User Inputs'!$E$12)^$B103)</f>
        <v>100886.20455249738</v>
      </c>
      <c r="H104" s="14">
        <f>H$7*((1+'User Inputs'!$E$12)^$B103)</f>
        <v>84383.819309792889</v>
      </c>
      <c r="I104" s="14">
        <f>I$7*((1+'User Inputs'!$E$12)^$B103)</f>
        <v>143033.25684079147</v>
      </c>
      <c r="J104" s="14">
        <f>J$7*((1+'User Inputs'!$E$12)^$B103)</f>
        <v>143653.25521840932</v>
      </c>
      <c r="K104" s="4" t="s">
        <v>42</v>
      </c>
      <c r="L104" s="33">
        <v>7</v>
      </c>
      <c r="M104" s="14">
        <f>M$7*((1+'User Inputs'!$E$12)^$B103)</f>
        <v>62280.665103986328</v>
      </c>
      <c r="N104" s="14">
        <f>N$7*((1+'User Inputs'!$E$12)^$B103)</f>
        <v>65792.266120898581</v>
      </c>
      <c r="O104" s="14">
        <f>O$7*((1+'User Inputs'!$E$12)^$B103)</f>
        <v>64747.001637072011</v>
      </c>
      <c r="P104" s="14">
        <f>P$7*((1+'User Inputs'!$E$12)^$B103)</f>
        <v>62785.307320589818</v>
      </c>
      <c r="Q104" s="14">
        <f>Q$7*((1+'User Inputs'!$E$12)^$B103)</f>
        <v>67221.338657380198</v>
      </c>
      <c r="R104" s="14">
        <f>R$7*((1+'User Inputs'!$E$12)^$B103)</f>
        <v>65901.147837963843</v>
      </c>
      <c r="S104" s="14">
        <f>S$7*((1+'User Inputs'!$E$12)^$B103)</f>
        <v>69451.240797738938</v>
      </c>
      <c r="T104" s="14">
        <f>T$7*((1+'User Inputs'!$E$12)^$B103)</f>
        <v>67191.860206910642</v>
      </c>
      <c r="U104" s="4" t="s">
        <v>42</v>
      </c>
      <c r="V104" s="33">
        <v>7</v>
      </c>
      <c r="W104" s="14">
        <f>W$7*((1+'User Inputs'!$E$12)^$B103)</f>
        <v>78476.434020477493</v>
      </c>
      <c r="X104" s="14">
        <f>X$7*((1+'User Inputs'!$E$12)^$B103)</f>
        <v>86697.555797429799</v>
      </c>
      <c r="Y104" s="14">
        <f>Y$7*((1+'User Inputs'!$E$12)^$B103)</f>
        <v>107080.21323204774</v>
      </c>
      <c r="Z104" s="14">
        <f>Z$7*((1+'User Inputs'!$E$12)^$B103)</f>
        <v>88431.559229107865</v>
      </c>
      <c r="AA104" s="14">
        <f>AA$7*((1+'User Inputs'!$E$12)^$B103)</f>
        <v>134551.07044761456</v>
      </c>
      <c r="AB104" s="14">
        <f>AB$7*((1+'User Inputs'!$E$12)^$B103)</f>
        <v>102866.49078162192</v>
      </c>
      <c r="AC104" s="14">
        <f>AC$7*((1+'User Inputs'!$E$12)^$B103)</f>
        <v>216615.27288384401</v>
      </c>
      <c r="AD104" s="14">
        <f>AD$7*((1+'User Inputs'!$E$12)^$B103)</f>
        <v>220114.65022990803</v>
      </c>
    </row>
    <row r="105" spans="1:30" x14ac:dyDescent="0.25">
      <c r="A105" s="4" t="s">
        <v>42</v>
      </c>
      <c r="B105" s="33">
        <v>8</v>
      </c>
      <c r="C105" s="14">
        <f>C$7*((1+'User Inputs'!$E$12)^$B104)</f>
        <v>71786.120553476532</v>
      </c>
      <c r="D105" s="14">
        <f>D$7*((1+'User Inputs'!$E$12)^$B104)</f>
        <v>77769.809178347467</v>
      </c>
      <c r="E105" s="14">
        <f>E$7*((1+'User Inputs'!$E$12)^$B104)</f>
        <v>87631.879583251066</v>
      </c>
      <c r="F105" s="14">
        <f>F$7*((1+'User Inputs'!$E$12)^$B104)</f>
        <v>77120.601940345805</v>
      </c>
      <c r="G105" s="14">
        <f>G$7*((1+'User Inputs'!$E$12)^$B104)</f>
        <v>102903.9286435473</v>
      </c>
      <c r="H105" s="14">
        <f>H$7*((1+'User Inputs'!$E$12)^$B104)</f>
        <v>86071.495695988735</v>
      </c>
      <c r="I105" s="14">
        <f>I$7*((1+'User Inputs'!$E$12)^$B104)</f>
        <v>145893.92197760727</v>
      </c>
      <c r="J105" s="14">
        <f>J$7*((1+'User Inputs'!$E$12)^$B104)</f>
        <v>146526.32032277749</v>
      </c>
      <c r="K105" s="4" t="s">
        <v>42</v>
      </c>
      <c r="L105" s="33">
        <v>8</v>
      </c>
      <c r="M105" s="14">
        <f>M$7*((1+'User Inputs'!$E$12)^$B104)</f>
        <v>63526.278406066034</v>
      </c>
      <c r="N105" s="14">
        <f>N$7*((1+'User Inputs'!$E$12)^$B104)</f>
        <v>67108.111443316535</v>
      </c>
      <c r="O105" s="14">
        <f>O$7*((1+'User Inputs'!$E$12)^$B104)</f>
        <v>66041.94166981343</v>
      </c>
      <c r="P105" s="14">
        <f>P$7*((1+'User Inputs'!$E$12)^$B104)</f>
        <v>64041.013467001598</v>
      </c>
      <c r="Q105" s="14">
        <f>Q$7*((1+'User Inputs'!$E$12)^$B104)</f>
        <v>68565.765430527797</v>
      </c>
      <c r="R105" s="14">
        <f>R$7*((1+'User Inputs'!$E$12)^$B104)</f>
        <v>67219.170794723104</v>
      </c>
      <c r="S105" s="14">
        <f>S$7*((1+'User Inputs'!$E$12)^$B104)</f>
        <v>70840.2656136937</v>
      </c>
      <c r="T105" s="14">
        <f>T$7*((1+'User Inputs'!$E$12)^$B104)</f>
        <v>68535.697411048837</v>
      </c>
      <c r="U105" s="4" t="s">
        <v>42</v>
      </c>
      <c r="V105" s="33">
        <v>8</v>
      </c>
      <c r="W105" s="14">
        <f>W$7*((1+'User Inputs'!$E$12)^$B104)</f>
        <v>80045.96270088703</v>
      </c>
      <c r="X105" s="14">
        <f>X$7*((1+'User Inputs'!$E$12)^$B104)</f>
        <v>88431.506913378384</v>
      </c>
      <c r="Y105" s="14">
        <f>Y$7*((1+'User Inputs'!$E$12)^$B104)</f>
        <v>109221.81749668867</v>
      </c>
      <c r="Z105" s="14">
        <f>Z$7*((1+'User Inputs'!$E$12)^$B104)</f>
        <v>90200.190413690012</v>
      </c>
      <c r="AA105" s="14">
        <f>AA$7*((1+'User Inputs'!$E$12)^$B104)</f>
        <v>137242.09185656684</v>
      </c>
      <c r="AB105" s="14">
        <f>AB$7*((1+'User Inputs'!$E$12)^$B104)</f>
        <v>104923.82059725434</v>
      </c>
      <c r="AC105" s="14">
        <f>AC$7*((1+'User Inputs'!$E$12)^$B104)</f>
        <v>220947.57834152086</v>
      </c>
      <c r="AD105" s="14">
        <f>AD$7*((1+'User Inputs'!$E$12)^$B104)</f>
        <v>224516.94323450612</v>
      </c>
    </row>
    <row r="106" spans="1:30" x14ac:dyDescent="0.25">
      <c r="A106" s="4" t="s">
        <v>42</v>
      </c>
      <c r="B106" s="33">
        <v>9</v>
      </c>
      <c r="C106" s="14">
        <f>C$7*((1+'User Inputs'!$E$12)^$B105)</f>
        <v>73221.842964546071</v>
      </c>
      <c r="D106" s="14">
        <f>D$7*((1+'User Inputs'!$E$12)^$B105)</f>
        <v>79325.205361914428</v>
      </c>
      <c r="E106" s="14">
        <f>E$7*((1+'User Inputs'!$E$12)^$B105)</f>
        <v>89384.517174916095</v>
      </c>
      <c r="F106" s="14">
        <f>F$7*((1+'User Inputs'!$E$12)^$B105)</f>
        <v>78663.013979152733</v>
      </c>
      <c r="G106" s="14">
        <f>G$7*((1+'User Inputs'!$E$12)^$B105)</f>
        <v>104962.00721641826</v>
      </c>
      <c r="H106" s="14">
        <f>H$7*((1+'User Inputs'!$E$12)^$B105)</f>
        <v>87792.925609908518</v>
      </c>
      <c r="I106" s="14">
        <f>I$7*((1+'User Inputs'!$E$12)^$B105)</f>
        <v>148811.80041715942</v>
      </c>
      <c r="J106" s="14">
        <f>J$7*((1+'User Inputs'!$E$12)^$B105)</f>
        <v>149456.84672923305</v>
      </c>
      <c r="K106" s="4" t="s">
        <v>42</v>
      </c>
      <c r="L106" s="33">
        <v>9</v>
      </c>
      <c r="M106" s="14">
        <f>M$7*((1+'User Inputs'!$E$12)^$B105)</f>
        <v>64796.803974187365</v>
      </c>
      <c r="N106" s="14">
        <f>N$7*((1+'User Inputs'!$E$12)^$B105)</f>
        <v>68450.27367218287</v>
      </c>
      <c r="O106" s="14">
        <f>O$7*((1+'User Inputs'!$E$12)^$B105)</f>
        <v>67362.780503209709</v>
      </c>
      <c r="P106" s="14">
        <f>P$7*((1+'User Inputs'!$E$12)^$B105)</f>
        <v>65321.833736341636</v>
      </c>
      <c r="Q106" s="14">
        <f>Q$7*((1+'User Inputs'!$E$12)^$B105)</f>
        <v>69937.080739138357</v>
      </c>
      <c r="R106" s="14">
        <f>R$7*((1+'User Inputs'!$E$12)^$B105)</f>
        <v>68563.554210617571</v>
      </c>
      <c r="S106" s="14">
        <f>S$7*((1+'User Inputs'!$E$12)^$B105)</f>
        <v>72257.070925967579</v>
      </c>
      <c r="T106" s="14">
        <f>T$7*((1+'User Inputs'!$E$12)^$B105)</f>
        <v>69906.411359269827</v>
      </c>
      <c r="U106" s="4" t="s">
        <v>42</v>
      </c>
      <c r="V106" s="33">
        <v>9</v>
      </c>
      <c r="W106" s="14">
        <f>W$7*((1+'User Inputs'!$E$12)^$B105)</f>
        <v>81646.881954904777</v>
      </c>
      <c r="X106" s="14">
        <f>X$7*((1+'User Inputs'!$E$12)^$B105)</f>
        <v>90200.137051645957</v>
      </c>
      <c r="Y106" s="14">
        <f>Y$7*((1+'User Inputs'!$E$12)^$B105)</f>
        <v>111406.25384662247</v>
      </c>
      <c r="Z106" s="14">
        <f>Z$7*((1+'User Inputs'!$E$12)^$B105)</f>
        <v>92004.194221963815</v>
      </c>
      <c r="AA106" s="14">
        <f>AA$7*((1+'User Inputs'!$E$12)^$B105)</f>
        <v>139986.93369369817</v>
      </c>
      <c r="AB106" s="14">
        <f>AB$7*((1+'User Inputs'!$E$12)^$B105)</f>
        <v>107022.29700919944</v>
      </c>
      <c r="AC106" s="14">
        <f>AC$7*((1+'User Inputs'!$E$12)^$B105)</f>
        <v>225366.52990835128</v>
      </c>
      <c r="AD106" s="14">
        <f>AD$7*((1+'User Inputs'!$E$12)^$B105)</f>
        <v>229007.28209919628</v>
      </c>
    </row>
    <row r="107" spans="1:30" x14ac:dyDescent="0.25">
      <c r="A107" s="4" t="s">
        <v>42</v>
      </c>
      <c r="B107" s="33">
        <v>10</v>
      </c>
      <c r="C107" s="14">
        <f>C$7*((1+'User Inputs'!$E$12)^$B106)</f>
        <v>74686.279823836987</v>
      </c>
      <c r="D107" s="14">
        <f>D$7*((1+'User Inputs'!$E$12)^$B106)</f>
        <v>80911.709469152716</v>
      </c>
      <c r="E107" s="14">
        <f>E$7*((1+'User Inputs'!$E$12)^$B106)</f>
        <v>91172.20751841442</v>
      </c>
      <c r="F107" s="14">
        <f>F$7*((1+'User Inputs'!$E$12)^$B106)</f>
        <v>80236.274258735779</v>
      </c>
      <c r="G107" s="14">
        <f>G$7*((1+'User Inputs'!$E$12)^$B106)</f>
        <v>107061.24736074664</v>
      </c>
      <c r="H107" s="14">
        <f>H$7*((1+'User Inputs'!$E$12)^$B106)</f>
        <v>89548.784122106677</v>
      </c>
      <c r="I107" s="14">
        <f>I$7*((1+'User Inputs'!$E$12)^$B106)</f>
        <v>151788.03642550262</v>
      </c>
      <c r="J107" s="14">
        <f>J$7*((1+'User Inputs'!$E$12)^$B106)</f>
        <v>152445.98366381772</v>
      </c>
      <c r="K107" s="4" t="s">
        <v>42</v>
      </c>
      <c r="L107" s="33">
        <v>10</v>
      </c>
      <c r="M107" s="14">
        <f>M$7*((1+'User Inputs'!$E$12)^$B106)</f>
        <v>66092.740053671107</v>
      </c>
      <c r="N107" s="14">
        <f>N$7*((1+'User Inputs'!$E$12)^$B106)</f>
        <v>69819.27914562654</v>
      </c>
      <c r="O107" s="14">
        <f>O$7*((1+'User Inputs'!$E$12)^$B106)</f>
        <v>68710.036113273905</v>
      </c>
      <c r="P107" s="14">
        <f>P$7*((1+'User Inputs'!$E$12)^$B106)</f>
        <v>66628.270411068472</v>
      </c>
      <c r="Q107" s="14">
        <f>Q$7*((1+'User Inputs'!$E$12)^$B106)</f>
        <v>71335.822353921118</v>
      </c>
      <c r="R107" s="14">
        <f>R$7*((1+'User Inputs'!$E$12)^$B106)</f>
        <v>69934.825294829934</v>
      </c>
      <c r="S107" s="14">
        <f>S$7*((1+'User Inputs'!$E$12)^$B106)</f>
        <v>73702.212344486936</v>
      </c>
      <c r="T107" s="14">
        <f>T$7*((1+'User Inputs'!$E$12)^$B106)</f>
        <v>71304.539586455212</v>
      </c>
      <c r="U107" s="4" t="s">
        <v>42</v>
      </c>
      <c r="V107" s="33">
        <v>10</v>
      </c>
      <c r="W107" s="14">
        <f>W$7*((1+'User Inputs'!$E$12)^$B106)</f>
        <v>83279.819594002867</v>
      </c>
      <c r="X107" s="14">
        <f>X$7*((1+'User Inputs'!$E$12)^$B106)</f>
        <v>92004.139792678878</v>
      </c>
      <c r="Y107" s="14">
        <f>Y$7*((1+'User Inputs'!$E$12)^$B106)</f>
        <v>113634.3789235549</v>
      </c>
      <c r="Z107" s="14">
        <f>Z$7*((1+'User Inputs'!$E$12)^$B106)</f>
        <v>93844.278106403101</v>
      </c>
      <c r="AA107" s="14">
        <f>AA$7*((1+'User Inputs'!$E$12)^$B106)</f>
        <v>142786.67236757214</v>
      </c>
      <c r="AB107" s="14">
        <f>AB$7*((1+'User Inputs'!$E$12)^$B106)</f>
        <v>109162.74294938342</v>
      </c>
      <c r="AC107" s="14">
        <f>AC$7*((1+'User Inputs'!$E$12)^$B106)</f>
        <v>229873.86050651831</v>
      </c>
      <c r="AD107" s="14">
        <f>AD$7*((1+'User Inputs'!$E$12)^$B106)</f>
        <v>233587.4277411802</v>
      </c>
    </row>
    <row r="108" spans="1:30" x14ac:dyDescent="0.25">
      <c r="A108" s="4" t="s">
        <v>42</v>
      </c>
      <c r="B108" s="33">
        <v>11</v>
      </c>
      <c r="C108" s="14">
        <f>C$7*((1+'User Inputs'!$E$12)^$B107)</f>
        <v>76180.005420313726</v>
      </c>
      <c r="D108" s="14">
        <f>D$7*((1+'User Inputs'!$E$12)^$B107)</f>
        <v>82529.943658535776</v>
      </c>
      <c r="E108" s="14">
        <f>E$7*((1+'User Inputs'!$E$12)^$B107)</f>
        <v>92995.65166878271</v>
      </c>
      <c r="F108" s="14">
        <f>F$7*((1+'User Inputs'!$E$12)^$B107)</f>
        <v>81840.999743910506</v>
      </c>
      <c r="G108" s="14">
        <f>G$7*((1+'User Inputs'!$E$12)^$B107)</f>
        <v>109202.47230796157</v>
      </c>
      <c r="H108" s="14">
        <f>H$7*((1+'User Inputs'!$E$12)^$B107)</f>
        <v>91339.759804548827</v>
      </c>
      <c r="I108" s="14">
        <f>I$7*((1+'User Inputs'!$E$12)^$B107)</f>
        <v>154823.79715401269</v>
      </c>
      <c r="J108" s="14">
        <f>J$7*((1+'User Inputs'!$E$12)^$B107)</f>
        <v>155494.90333709406</v>
      </c>
      <c r="K108" s="4" t="s">
        <v>42</v>
      </c>
      <c r="L108" s="33">
        <v>11</v>
      </c>
      <c r="M108" s="14">
        <f>M$7*((1+'User Inputs'!$E$12)^$B107)</f>
        <v>67414.594854744544</v>
      </c>
      <c r="N108" s="14">
        <f>N$7*((1+'User Inputs'!$E$12)^$B107)</f>
        <v>71215.664728539065</v>
      </c>
      <c r="O108" s="14">
        <f>O$7*((1+'User Inputs'!$E$12)^$B107)</f>
        <v>70084.236835539385</v>
      </c>
      <c r="P108" s="14">
        <f>P$7*((1+'User Inputs'!$E$12)^$B107)</f>
        <v>67960.835819289845</v>
      </c>
      <c r="Q108" s="14">
        <f>Q$7*((1+'User Inputs'!$E$12)^$B107)</f>
        <v>72762.538800999551</v>
      </c>
      <c r="R108" s="14">
        <f>R$7*((1+'User Inputs'!$E$12)^$B107)</f>
        <v>71333.521800726536</v>
      </c>
      <c r="S108" s="14">
        <f>S$7*((1+'User Inputs'!$E$12)^$B107)</f>
        <v>75176.256591376674</v>
      </c>
      <c r="T108" s="14">
        <f>T$7*((1+'User Inputs'!$E$12)^$B107)</f>
        <v>72730.630378184331</v>
      </c>
      <c r="U108" s="4" t="s">
        <v>42</v>
      </c>
      <c r="V108" s="33">
        <v>11</v>
      </c>
      <c r="W108" s="14">
        <f>W$7*((1+'User Inputs'!$E$12)^$B107)</f>
        <v>84945.415985882923</v>
      </c>
      <c r="X108" s="14">
        <f>X$7*((1+'User Inputs'!$E$12)^$B107)</f>
        <v>93844.222588532459</v>
      </c>
      <c r="Y108" s="14">
        <f>Y$7*((1+'User Inputs'!$E$12)^$B107)</f>
        <v>115907.06650202602</v>
      </c>
      <c r="Z108" s="14">
        <f>Z$7*((1+'User Inputs'!$E$12)^$B107)</f>
        <v>95721.163668531168</v>
      </c>
      <c r="AA108" s="14">
        <f>AA$7*((1+'User Inputs'!$E$12)^$B107)</f>
        <v>145642.40581492358</v>
      </c>
      <c r="AB108" s="14">
        <f>AB$7*((1+'User Inputs'!$E$12)^$B107)</f>
        <v>111345.9978083711</v>
      </c>
      <c r="AC108" s="14">
        <f>AC$7*((1+'User Inputs'!$E$12)^$B107)</f>
        <v>234471.33771664868</v>
      </c>
      <c r="AD108" s="14">
        <f>AD$7*((1+'User Inputs'!$E$12)^$B107)</f>
        <v>238259.1762960038</v>
      </c>
    </row>
    <row r="109" spans="1:30" x14ac:dyDescent="0.25">
      <c r="A109" s="4" t="s">
        <v>42</v>
      </c>
      <c r="B109" s="33">
        <v>12</v>
      </c>
      <c r="C109" s="14">
        <f>C$7*((1+'User Inputs'!$E$12)^$B108)</f>
        <v>77703.60552872</v>
      </c>
      <c r="D109" s="14">
        <f>D$7*((1+'User Inputs'!$E$12)^$B108)</f>
        <v>84180.542531706466</v>
      </c>
      <c r="E109" s="14">
        <f>E$7*((1+'User Inputs'!$E$12)^$B108)</f>
        <v>94855.564702158343</v>
      </c>
      <c r="F109" s="14">
        <f>F$7*((1+'User Inputs'!$E$12)^$B108)</f>
        <v>83477.81973878869</v>
      </c>
      <c r="G109" s="14">
        <f>G$7*((1+'User Inputs'!$E$12)^$B108)</f>
        <v>111386.52175412078</v>
      </c>
      <c r="H109" s="14">
        <f>H$7*((1+'User Inputs'!$E$12)^$B108)</f>
        <v>93166.555000639783</v>
      </c>
      <c r="I109" s="14">
        <f>I$7*((1+'User Inputs'!$E$12)^$B108)</f>
        <v>157920.2730970929</v>
      </c>
      <c r="J109" s="14">
        <f>J$7*((1+'User Inputs'!$E$12)^$B108)</f>
        <v>158604.80140383591</v>
      </c>
      <c r="K109" s="4" t="s">
        <v>42</v>
      </c>
      <c r="L109" s="33">
        <v>12</v>
      </c>
      <c r="M109" s="14">
        <f>M$7*((1+'User Inputs'!$E$12)^$B108)</f>
        <v>68762.886751839411</v>
      </c>
      <c r="N109" s="14">
        <f>N$7*((1+'User Inputs'!$E$12)^$B108)</f>
        <v>72639.978023109841</v>
      </c>
      <c r="O109" s="14">
        <f>O$7*((1+'User Inputs'!$E$12)^$B108)</f>
        <v>71485.921572250154</v>
      </c>
      <c r="P109" s="14">
        <f>P$7*((1+'User Inputs'!$E$12)^$B108)</f>
        <v>69320.052535675626</v>
      </c>
      <c r="Q109" s="14">
        <f>Q$7*((1+'User Inputs'!$E$12)^$B108)</f>
        <v>74217.789577019532</v>
      </c>
      <c r="R109" s="14">
        <f>R$7*((1+'User Inputs'!$E$12)^$B108)</f>
        <v>72760.192236741044</v>
      </c>
      <c r="S109" s="14">
        <f>S$7*((1+'User Inputs'!$E$12)^$B108)</f>
        <v>76679.781723204185</v>
      </c>
      <c r="T109" s="14">
        <f>T$7*((1+'User Inputs'!$E$12)^$B108)</f>
        <v>74185.242985748002</v>
      </c>
      <c r="U109" s="4" t="s">
        <v>42</v>
      </c>
      <c r="V109" s="33">
        <v>12</v>
      </c>
      <c r="W109" s="14">
        <f>W$7*((1+'User Inputs'!$E$12)^$B108)</f>
        <v>86644.324305600574</v>
      </c>
      <c r="X109" s="14">
        <f>X$7*((1+'User Inputs'!$E$12)^$B108)</f>
        <v>95721.10704030309</v>
      </c>
      <c r="Y109" s="14">
        <f>Y$7*((1+'User Inputs'!$E$12)^$B108)</f>
        <v>118225.20783206652</v>
      </c>
      <c r="Z109" s="14">
        <f>Z$7*((1+'User Inputs'!$E$12)^$B108)</f>
        <v>97635.586941901769</v>
      </c>
      <c r="AA109" s="14">
        <f>AA$7*((1+'User Inputs'!$E$12)^$B108)</f>
        <v>148555.25393122205</v>
      </c>
      <c r="AB109" s="14">
        <f>AB$7*((1+'User Inputs'!$E$12)^$B108)</f>
        <v>113572.91776453851</v>
      </c>
      <c r="AC109" s="14">
        <f>AC$7*((1+'User Inputs'!$E$12)^$B108)</f>
        <v>239160.76447098161</v>
      </c>
      <c r="AD109" s="14">
        <f>AD$7*((1+'User Inputs'!$E$12)^$B108)</f>
        <v>243024.35982192383</v>
      </c>
    </row>
    <row r="110" spans="1:30" x14ac:dyDescent="0.25">
      <c r="A110" s="4" t="s">
        <v>42</v>
      </c>
      <c r="B110" s="33">
        <v>13</v>
      </c>
      <c r="C110" s="14">
        <f>C$7*((1+'User Inputs'!$E$12)^$B109)</f>
        <v>79257.677639294401</v>
      </c>
      <c r="D110" s="14">
        <f>D$7*((1+'User Inputs'!$E$12)^$B109)</f>
        <v>85864.153382340621</v>
      </c>
      <c r="E110" s="14">
        <f>E$7*((1+'User Inputs'!$E$12)^$B109)</f>
        <v>96752.675996201535</v>
      </c>
      <c r="F110" s="14">
        <f>F$7*((1+'User Inputs'!$E$12)^$B109)</f>
        <v>85147.376133564481</v>
      </c>
      <c r="G110" s="14">
        <f>G$7*((1+'User Inputs'!$E$12)^$B109)</f>
        <v>113614.25218920321</v>
      </c>
      <c r="H110" s="14">
        <f>H$7*((1+'User Inputs'!$E$12)^$B109)</f>
        <v>95029.886100652584</v>
      </c>
      <c r="I110" s="14">
        <f>I$7*((1+'User Inputs'!$E$12)^$B109)</f>
        <v>161078.6785590348</v>
      </c>
      <c r="J110" s="14">
        <f>J$7*((1+'User Inputs'!$E$12)^$B109)</f>
        <v>161776.89743191266</v>
      </c>
      <c r="K110" s="4" t="s">
        <v>42</v>
      </c>
      <c r="L110" s="33">
        <v>13</v>
      </c>
      <c r="M110" s="14">
        <f>M$7*((1+'User Inputs'!$E$12)^$B109)</f>
        <v>70138.144486876219</v>
      </c>
      <c r="N110" s="14">
        <f>N$7*((1+'User Inputs'!$E$12)^$B109)</f>
        <v>74092.777583572039</v>
      </c>
      <c r="O110" s="14">
        <f>O$7*((1+'User Inputs'!$E$12)^$B109)</f>
        <v>72915.640003695182</v>
      </c>
      <c r="P110" s="14">
        <f>P$7*((1+'User Inputs'!$E$12)^$B109)</f>
        <v>70706.453586389151</v>
      </c>
      <c r="Q110" s="14">
        <f>Q$7*((1+'User Inputs'!$E$12)^$B109)</f>
        <v>75702.145368559926</v>
      </c>
      <c r="R110" s="14">
        <f>R$7*((1+'User Inputs'!$E$12)^$B109)</f>
        <v>74215.396081475876</v>
      </c>
      <c r="S110" s="14">
        <f>S$7*((1+'User Inputs'!$E$12)^$B109)</f>
        <v>78213.377357668287</v>
      </c>
      <c r="T110" s="14">
        <f>T$7*((1+'User Inputs'!$E$12)^$B109)</f>
        <v>75668.947845462972</v>
      </c>
      <c r="U110" s="4" t="s">
        <v>42</v>
      </c>
      <c r="V110" s="33">
        <v>13</v>
      </c>
      <c r="W110" s="14">
        <f>W$7*((1+'User Inputs'!$E$12)^$B109)</f>
        <v>88377.210791712598</v>
      </c>
      <c r="X110" s="14">
        <f>X$7*((1+'User Inputs'!$E$12)^$B109)</f>
        <v>97635.529181109159</v>
      </c>
      <c r="Y110" s="14">
        <f>Y$7*((1+'User Inputs'!$E$12)^$B109)</f>
        <v>120589.71198870786</v>
      </c>
      <c r="Z110" s="14">
        <f>Z$7*((1+'User Inputs'!$E$12)^$B109)</f>
        <v>99588.298680739812</v>
      </c>
      <c r="AA110" s="14">
        <f>AA$7*((1+'User Inputs'!$E$12)^$B109)</f>
        <v>151526.35900984649</v>
      </c>
      <c r="AB110" s="14">
        <f>AB$7*((1+'User Inputs'!$E$12)^$B109)</f>
        <v>115844.37611982929</v>
      </c>
      <c r="AC110" s="14">
        <f>AC$7*((1+'User Inputs'!$E$12)^$B109)</f>
        <v>243943.9797604013</v>
      </c>
      <c r="AD110" s="14">
        <f>AD$7*((1+'User Inputs'!$E$12)^$B109)</f>
        <v>247884.84701836237</v>
      </c>
    </row>
    <row r="111" spans="1:30" x14ac:dyDescent="0.25">
      <c r="A111" s="4" t="s">
        <v>42</v>
      </c>
      <c r="B111" s="33">
        <v>14</v>
      </c>
      <c r="C111" s="14">
        <f>C$7*((1+'User Inputs'!$E$12)^$B110)</f>
        <v>80842.831192080295</v>
      </c>
      <c r="D111" s="14">
        <f>D$7*((1+'User Inputs'!$E$12)^$B110)</f>
        <v>87581.436449987421</v>
      </c>
      <c r="E111" s="14">
        <f>E$7*((1+'User Inputs'!$E$12)^$B110)</f>
        <v>98687.729516125546</v>
      </c>
      <c r="F111" s="14">
        <f>F$7*((1+'User Inputs'!$E$12)^$B110)</f>
        <v>86850.323656235763</v>
      </c>
      <c r="G111" s="14">
        <f>G$7*((1+'User Inputs'!$E$12)^$B110)</f>
        <v>115886.53723298728</v>
      </c>
      <c r="H111" s="14">
        <f>H$7*((1+'User Inputs'!$E$12)^$B110)</f>
        <v>96930.483822665643</v>
      </c>
      <c r="I111" s="14">
        <f>I$7*((1+'User Inputs'!$E$12)^$B110)</f>
        <v>164300.25213021546</v>
      </c>
      <c r="J111" s="14">
        <f>J$7*((1+'User Inputs'!$E$12)^$B110)</f>
        <v>165012.43538055092</v>
      </c>
      <c r="K111" s="4" t="s">
        <v>42</v>
      </c>
      <c r="L111" s="33">
        <v>14</v>
      </c>
      <c r="M111" s="14">
        <f>M$7*((1+'User Inputs'!$E$12)^$B110)</f>
        <v>71540.90737661373</v>
      </c>
      <c r="N111" s="14">
        <f>N$7*((1+'User Inputs'!$E$12)^$B110)</f>
        <v>75574.633135243479</v>
      </c>
      <c r="O111" s="14">
        <f>O$7*((1+'User Inputs'!$E$12)^$B110)</f>
        <v>74373.952803769076</v>
      </c>
      <c r="P111" s="14">
        <f>P$7*((1+'User Inputs'!$E$12)^$B110)</f>
        <v>72120.582658116924</v>
      </c>
      <c r="Q111" s="14">
        <f>Q$7*((1+'User Inputs'!$E$12)^$B110)</f>
        <v>77216.188275931127</v>
      </c>
      <c r="R111" s="14">
        <f>R$7*((1+'User Inputs'!$E$12)^$B110)</f>
        <v>75699.704003105391</v>
      </c>
      <c r="S111" s="14">
        <f>S$7*((1+'User Inputs'!$E$12)^$B110)</f>
        <v>79777.644904821645</v>
      </c>
      <c r="T111" s="14">
        <f>T$7*((1+'User Inputs'!$E$12)^$B110)</f>
        <v>77182.326802372219</v>
      </c>
      <c r="U111" s="4" t="s">
        <v>42</v>
      </c>
      <c r="V111" s="33">
        <v>14</v>
      </c>
      <c r="W111" s="14">
        <f>W$7*((1+'User Inputs'!$E$12)^$B110)</f>
        <v>90144.755007546846</v>
      </c>
      <c r="X111" s="14">
        <f>X$7*((1+'User Inputs'!$E$12)^$B110)</f>
        <v>99588.239764731348</v>
      </c>
      <c r="Y111" s="14">
        <f>Y$7*((1+'User Inputs'!$E$12)^$B110)</f>
        <v>123001.50622848202</v>
      </c>
      <c r="Z111" s="14">
        <f>Z$7*((1+'User Inputs'!$E$12)^$B110)</f>
        <v>101580.0646543546</v>
      </c>
      <c r="AA111" s="14">
        <f>AA$7*((1+'User Inputs'!$E$12)^$B110)</f>
        <v>154556.88619004341</v>
      </c>
      <c r="AB111" s="14">
        <f>AB$7*((1+'User Inputs'!$E$12)^$B110)</f>
        <v>118161.26364222587</v>
      </c>
      <c r="AC111" s="14">
        <f>AC$7*((1+'User Inputs'!$E$12)^$B110)</f>
        <v>248822.85935560928</v>
      </c>
      <c r="AD111" s="14">
        <f>AD$7*((1+'User Inputs'!$E$12)^$B110)</f>
        <v>252842.5439587296</v>
      </c>
    </row>
    <row r="112" spans="1:30" x14ac:dyDescent="0.25">
      <c r="A112" s="4" t="s">
        <v>42</v>
      </c>
      <c r="B112" s="33">
        <v>15</v>
      </c>
      <c r="C112" s="14">
        <f>C$7*((1+'User Inputs'!$E$12)^$B111)</f>
        <v>82459.687815921905</v>
      </c>
      <c r="D112" s="14">
        <f>D$7*((1+'User Inputs'!$E$12)^$B111)</f>
        <v>89333.065178987177</v>
      </c>
      <c r="E112" s="14">
        <f>E$7*((1+'User Inputs'!$E$12)^$B111)</f>
        <v>100661.48410644807</v>
      </c>
      <c r="F112" s="14">
        <f>F$7*((1+'User Inputs'!$E$12)^$B111)</f>
        <v>88587.330129360489</v>
      </c>
      <c r="G112" s="14">
        <f>G$7*((1+'User Inputs'!$E$12)^$B111)</f>
        <v>118204.26797764703</v>
      </c>
      <c r="H112" s="14">
        <f>H$7*((1+'User Inputs'!$E$12)^$B111)</f>
        <v>98869.093499118957</v>
      </c>
      <c r="I112" s="14">
        <f>I$7*((1+'User Inputs'!$E$12)^$B111)</f>
        <v>167586.25717281981</v>
      </c>
      <c r="J112" s="14">
        <f>J$7*((1+'User Inputs'!$E$12)^$B111)</f>
        <v>168312.68408816194</v>
      </c>
      <c r="K112" s="4" t="s">
        <v>42</v>
      </c>
      <c r="L112" s="33">
        <v>15</v>
      </c>
      <c r="M112" s="14">
        <f>M$7*((1+'User Inputs'!$E$12)^$B111)</f>
        <v>72971.725524146023</v>
      </c>
      <c r="N112" s="14">
        <f>N$7*((1+'User Inputs'!$E$12)^$B111)</f>
        <v>77086.125797948363</v>
      </c>
      <c r="O112" s="14">
        <f>O$7*((1+'User Inputs'!$E$12)^$B111)</f>
        <v>75861.431859844466</v>
      </c>
      <c r="P112" s="14">
        <f>P$7*((1+'User Inputs'!$E$12)^$B111)</f>
        <v>73562.994311279283</v>
      </c>
      <c r="Q112" s="14">
        <f>Q$7*((1+'User Inputs'!$E$12)^$B111)</f>
        <v>78760.512041449751</v>
      </c>
      <c r="R112" s="14">
        <f>R$7*((1+'User Inputs'!$E$12)^$B111)</f>
        <v>77213.698083167503</v>
      </c>
      <c r="S112" s="14">
        <f>S$7*((1+'User Inputs'!$E$12)^$B111)</f>
        <v>81373.19780291809</v>
      </c>
      <c r="T112" s="14">
        <f>T$7*((1+'User Inputs'!$E$12)^$B111)</f>
        <v>78725.973338419673</v>
      </c>
      <c r="U112" s="4" t="s">
        <v>42</v>
      </c>
      <c r="V112" s="33">
        <v>15</v>
      </c>
      <c r="W112" s="14">
        <f>W$7*((1+'User Inputs'!$E$12)^$B111)</f>
        <v>91947.650107697787</v>
      </c>
      <c r="X112" s="14">
        <f>X$7*((1+'User Inputs'!$E$12)^$B111)</f>
        <v>101580.00456002598</v>
      </c>
      <c r="Y112" s="14">
        <f>Y$7*((1+'User Inputs'!$E$12)^$B111)</f>
        <v>125461.53635305166</v>
      </c>
      <c r="Z112" s="14">
        <f>Z$7*((1+'User Inputs'!$E$12)^$B111)</f>
        <v>103611.66594744171</v>
      </c>
      <c r="AA112" s="14">
        <f>AA$7*((1+'User Inputs'!$E$12)^$B111)</f>
        <v>157648.02391384431</v>
      </c>
      <c r="AB112" s="14">
        <f>AB$7*((1+'User Inputs'!$E$12)^$B111)</f>
        <v>120524.4889150704</v>
      </c>
      <c r="AC112" s="14">
        <f>AC$7*((1+'User Inputs'!$E$12)^$B111)</f>
        <v>253799.3165427215</v>
      </c>
      <c r="AD112" s="14">
        <f>AD$7*((1+'User Inputs'!$E$12)^$B111)</f>
        <v>257899.3948379042</v>
      </c>
    </row>
    <row r="113" spans="1:30" x14ac:dyDescent="0.25">
      <c r="A113" s="4" t="s">
        <v>42</v>
      </c>
      <c r="B113" s="33">
        <v>16</v>
      </c>
      <c r="C113" s="14">
        <f>C$7*((1+'User Inputs'!$E$12)^$B112)</f>
        <v>84108.881572240323</v>
      </c>
      <c r="D113" s="14">
        <f>D$7*((1+'User Inputs'!$E$12)^$B112)</f>
        <v>91119.726482566897</v>
      </c>
      <c r="E113" s="14">
        <f>E$7*((1+'User Inputs'!$E$12)^$B112)</f>
        <v>102674.71378857701</v>
      </c>
      <c r="F113" s="14">
        <f>F$7*((1+'User Inputs'!$E$12)^$B112)</f>
        <v>90359.076731947673</v>
      </c>
      <c r="G113" s="14">
        <f>G$7*((1+'User Inputs'!$E$12)^$B112)</f>
        <v>120568.35333719994</v>
      </c>
      <c r="H113" s="14">
        <f>H$7*((1+'User Inputs'!$E$12)^$B112)</f>
        <v>100846.47536910132</v>
      </c>
      <c r="I113" s="14">
        <f>I$7*((1+'User Inputs'!$E$12)^$B112)</f>
        <v>170937.98231627615</v>
      </c>
      <c r="J113" s="14">
        <f>J$7*((1+'User Inputs'!$E$12)^$B112)</f>
        <v>171678.93776992513</v>
      </c>
      <c r="K113" s="4" t="s">
        <v>42</v>
      </c>
      <c r="L113" s="33">
        <v>16</v>
      </c>
      <c r="M113" s="14">
        <f>M$7*((1+'User Inputs'!$E$12)^$B112)</f>
        <v>74431.16003462892</v>
      </c>
      <c r="N113" s="14">
        <f>N$7*((1+'User Inputs'!$E$12)^$B112)</f>
        <v>78627.848313907307</v>
      </c>
      <c r="O113" s="14">
        <f>O$7*((1+'User Inputs'!$E$12)^$B112)</f>
        <v>77378.660497041332</v>
      </c>
      <c r="P113" s="14">
        <f>P$7*((1+'User Inputs'!$E$12)^$B112)</f>
        <v>75034.254197504837</v>
      </c>
      <c r="Q113" s="14">
        <f>Q$7*((1+'User Inputs'!$E$12)^$B112)</f>
        <v>80335.72228227873</v>
      </c>
      <c r="R113" s="14">
        <f>R$7*((1+'User Inputs'!$E$12)^$B112)</f>
        <v>78757.972044830836</v>
      </c>
      <c r="S113" s="14">
        <f>S$7*((1+'User Inputs'!$E$12)^$B112)</f>
        <v>83000.661758976436</v>
      </c>
      <c r="T113" s="14">
        <f>T$7*((1+'User Inputs'!$E$12)^$B112)</f>
        <v>80300.492805188056</v>
      </c>
      <c r="U113" s="4" t="s">
        <v>42</v>
      </c>
      <c r="V113" s="33">
        <v>16</v>
      </c>
      <c r="W113" s="14">
        <f>W$7*((1+'User Inputs'!$E$12)^$B112)</f>
        <v>93786.603109851712</v>
      </c>
      <c r="X113" s="14">
        <f>X$7*((1+'User Inputs'!$E$12)^$B112)</f>
        <v>103611.60465122647</v>
      </c>
      <c r="Y113" s="14">
        <f>Y$7*((1+'User Inputs'!$E$12)^$B112)</f>
        <v>127970.76708011267</v>
      </c>
      <c r="Z113" s="14">
        <f>Z$7*((1+'User Inputs'!$E$12)^$B112)</f>
        <v>105683.89926639052</v>
      </c>
      <c r="AA113" s="14">
        <f>AA$7*((1+'User Inputs'!$E$12)^$B112)</f>
        <v>160800.98439212114</v>
      </c>
      <c r="AB113" s="14">
        <f>AB$7*((1+'User Inputs'!$E$12)^$B112)</f>
        <v>122934.97869337177</v>
      </c>
      <c r="AC113" s="14">
        <f>AC$7*((1+'User Inputs'!$E$12)^$B112)</f>
        <v>258875.30287357586</v>
      </c>
      <c r="AD113" s="14">
        <f>AD$7*((1+'User Inputs'!$E$12)^$B112)</f>
        <v>263057.38273466221</v>
      </c>
    </row>
    <row r="114" spans="1:30" x14ac:dyDescent="0.25">
      <c r="A114" s="4" t="s">
        <v>42</v>
      </c>
      <c r="B114" s="33">
        <v>17</v>
      </c>
      <c r="C114" s="14">
        <f>C$7*((1+'User Inputs'!$E$12)^$B113)</f>
        <v>85791.059203685145</v>
      </c>
      <c r="D114" s="14">
        <f>D$7*((1+'User Inputs'!$E$12)^$B113)</f>
        <v>92942.121012218253</v>
      </c>
      <c r="E114" s="14">
        <f>E$7*((1+'User Inputs'!$E$12)^$B113)</f>
        <v>104728.20806434857</v>
      </c>
      <c r="F114" s="14">
        <f>F$7*((1+'User Inputs'!$E$12)^$B113)</f>
        <v>92166.25826658665</v>
      </c>
      <c r="G114" s="14">
        <f>G$7*((1+'User Inputs'!$E$12)^$B113)</f>
        <v>122979.72040394395</v>
      </c>
      <c r="H114" s="14">
        <f>H$7*((1+'User Inputs'!$E$12)^$B113)</f>
        <v>102863.40487648336</v>
      </c>
      <c r="I114" s="14">
        <f>I$7*((1+'User Inputs'!$E$12)^$B113)</f>
        <v>174356.74196260169</v>
      </c>
      <c r="J114" s="14">
        <f>J$7*((1+'User Inputs'!$E$12)^$B113)</f>
        <v>175112.51652532368</v>
      </c>
      <c r="K114" s="4" t="s">
        <v>42</v>
      </c>
      <c r="L114" s="33">
        <v>17</v>
      </c>
      <c r="M114" s="14">
        <f>M$7*((1+'User Inputs'!$E$12)^$B113)</f>
        <v>75919.783235321505</v>
      </c>
      <c r="N114" s="14">
        <f>N$7*((1+'User Inputs'!$E$12)^$B113)</f>
        <v>80200.40528018547</v>
      </c>
      <c r="O114" s="14">
        <f>O$7*((1+'User Inputs'!$E$12)^$B113)</f>
        <v>78926.233706982166</v>
      </c>
      <c r="P114" s="14">
        <f>P$7*((1+'User Inputs'!$E$12)^$B113)</f>
        <v>76534.93928145495</v>
      </c>
      <c r="Q114" s="14">
        <f>Q$7*((1+'User Inputs'!$E$12)^$B113)</f>
        <v>81942.436727924316</v>
      </c>
      <c r="R114" s="14">
        <f>R$7*((1+'User Inputs'!$E$12)^$B113)</f>
        <v>80333.13148572747</v>
      </c>
      <c r="S114" s="14">
        <f>S$7*((1+'User Inputs'!$E$12)^$B113)</f>
        <v>84660.674994155968</v>
      </c>
      <c r="T114" s="14">
        <f>T$7*((1+'User Inputs'!$E$12)^$B113)</f>
        <v>81906.50266129183</v>
      </c>
      <c r="U114" s="4" t="s">
        <v>42</v>
      </c>
      <c r="V114" s="33">
        <v>17</v>
      </c>
      <c r="W114" s="14">
        <f>W$7*((1+'User Inputs'!$E$12)^$B113)</f>
        <v>95662.33517204877</v>
      </c>
      <c r="X114" s="14">
        <f>X$7*((1+'User Inputs'!$E$12)^$B113)</f>
        <v>105683.83674425102</v>
      </c>
      <c r="Y114" s="14">
        <f>Y$7*((1+'User Inputs'!$E$12)^$B113)</f>
        <v>130530.18242171494</v>
      </c>
      <c r="Z114" s="14">
        <f>Z$7*((1+'User Inputs'!$E$12)^$B113)</f>
        <v>107797.57725171835</v>
      </c>
      <c r="AA114" s="14">
        <f>AA$7*((1+'User Inputs'!$E$12)^$B113)</f>
        <v>164017.0040799636</v>
      </c>
      <c r="AB114" s="14">
        <f>AB$7*((1+'User Inputs'!$E$12)^$B113)</f>
        <v>125393.67826723923</v>
      </c>
      <c r="AC114" s="14">
        <f>AC$7*((1+'User Inputs'!$E$12)^$B113)</f>
        <v>264052.80893104745</v>
      </c>
      <c r="AD114" s="14">
        <f>AD$7*((1+'User Inputs'!$E$12)^$B113)</f>
        <v>268318.5303893555</v>
      </c>
    </row>
    <row r="115" spans="1:30" x14ac:dyDescent="0.25">
      <c r="A115" s="4" t="s">
        <v>42</v>
      </c>
      <c r="B115" s="33">
        <v>18</v>
      </c>
      <c r="C115" s="14">
        <f>C$7*((1+'User Inputs'!$E$12)^$B114)</f>
        <v>87506.880387758851</v>
      </c>
      <c r="D115" s="14">
        <f>D$7*((1+'User Inputs'!$E$12)^$B114)</f>
        <v>94800.963432462624</v>
      </c>
      <c r="E115" s="14">
        <f>E$7*((1+'User Inputs'!$E$12)^$B114)</f>
        <v>106822.77222563555</v>
      </c>
      <c r="F115" s="14">
        <f>F$7*((1+'User Inputs'!$E$12)^$B114)</f>
        <v>94009.583431918392</v>
      </c>
      <c r="G115" s="14">
        <f>G$7*((1+'User Inputs'!$E$12)^$B114)</f>
        <v>125439.31481202284</v>
      </c>
      <c r="H115" s="14">
        <f>H$7*((1+'User Inputs'!$E$12)^$B114)</f>
        <v>104920.67297401302</v>
      </c>
      <c r="I115" s="14">
        <f>I$7*((1+'User Inputs'!$E$12)^$B114)</f>
        <v>177843.87680185374</v>
      </c>
      <c r="J115" s="14">
        <f>J$7*((1+'User Inputs'!$E$12)^$B114)</f>
        <v>178614.76685583015</v>
      </c>
      <c r="K115" s="4" t="s">
        <v>42</v>
      </c>
      <c r="L115" s="33">
        <v>18</v>
      </c>
      <c r="M115" s="14">
        <f>M$7*((1+'User Inputs'!$E$12)^$B114)</f>
        <v>77438.178900027939</v>
      </c>
      <c r="N115" s="14">
        <f>N$7*((1+'User Inputs'!$E$12)^$B114)</f>
        <v>81804.413385789172</v>
      </c>
      <c r="O115" s="14">
        <f>O$7*((1+'User Inputs'!$E$12)^$B114)</f>
        <v>80504.758381121821</v>
      </c>
      <c r="P115" s="14">
        <f>P$7*((1+'User Inputs'!$E$12)^$B114)</f>
        <v>78065.638067084059</v>
      </c>
      <c r="Q115" s="14">
        <f>Q$7*((1+'User Inputs'!$E$12)^$B114)</f>
        <v>83581.285462482803</v>
      </c>
      <c r="R115" s="14">
        <f>R$7*((1+'User Inputs'!$E$12)^$B114)</f>
        <v>81939.794115442026</v>
      </c>
      <c r="S115" s="14">
        <f>S$7*((1+'User Inputs'!$E$12)^$B114)</f>
        <v>86353.8884940391</v>
      </c>
      <c r="T115" s="14">
        <f>T$7*((1+'User Inputs'!$E$12)^$B114)</f>
        <v>83544.632714517662</v>
      </c>
      <c r="U115" s="4" t="s">
        <v>42</v>
      </c>
      <c r="V115" s="33">
        <v>18</v>
      </c>
      <c r="W115" s="14">
        <f>W$7*((1+'User Inputs'!$E$12)^$B114)</f>
        <v>97575.581875489748</v>
      </c>
      <c r="X115" s="14">
        <f>X$7*((1+'User Inputs'!$E$12)^$B114)</f>
        <v>107797.51347913605</v>
      </c>
      <c r="Y115" s="14">
        <f>Y$7*((1+'User Inputs'!$E$12)^$B114)</f>
        <v>133140.78607014925</v>
      </c>
      <c r="Z115" s="14">
        <f>Z$7*((1+'User Inputs'!$E$12)^$B114)</f>
        <v>109953.52879675273</v>
      </c>
      <c r="AA115" s="14">
        <f>AA$7*((1+'User Inputs'!$E$12)^$B114)</f>
        <v>167297.34416156288</v>
      </c>
      <c r="AB115" s="14">
        <f>AB$7*((1+'User Inputs'!$E$12)^$B114)</f>
        <v>127901.55183258402</v>
      </c>
      <c r="AC115" s="14">
        <f>AC$7*((1+'User Inputs'!$E$12)^$B114)</f>
        <v>269333.8651096684</v>
      </c>
      <c r="AD115" s="14">
        <f>AD$7*((1+'User Inputs'!$E$12)^$B114)</f>
        <v>273684.90099714266</v>
      </c>
    </row>
    <row r="116" spans="1:30" x14ac:dyDescent="0.25">
      <c r="A116" s="4" t="s">
        <v>42</v>
      </c>
      <c r="B116" s="33">
        <v>19</v>
      </c>
      <c r="C116" s="14">
        <f>C$7*((1+'User Inputs'!$E$12)^$B115)</f>
        <v>89257.017995514019</v>
      </c>
      <c r="D116" s="14">
        <f>D$7*((1+'User Inputs'!$E$12)^$B115)</f>
        <v>96696.982701111861</v>
      </c>
      <c r="E116" s="14">
        <f>E$7*((1+'User Inputs'!$E$12)^$B115)</f>
        <v>108959.22767014825</v>
      </c>
      <c r="F116" s="14">
        <f>F$7*((1+'User Inputs'!$E$12)^$B115)</f>
        <v>95889.775100556741</v>
      </c>
      <c r="G116" s="14">
        <f>G$7*((1+'User Inputs'!$E$12)^$B115)</f>
        <v>127948.10110826329</v>
      </c>
      <c r="H116" s="14">
        <f>H$7*((1+'User Inputs'!$E$12)^$B115)</f>
        <v>107019.08643349328</v>
      </c>
      <c r="I116" s="14">
        <f>I$7*((1+'User Inputs'!$E$12)^$B115)</f>
        <v>181400.7543378908</v>
      </c>
      <c r="J116" s="14">
        <f>J$7*((1+'User Inputs'!$E$12)^$B115)</f>
        <v>182187.06219294673</v>
      </c>
      <c r="K116" s="4" t="s">
        <v>42</v>
      </c>
      <c r="L116" s="33">
        <v>19</v>
      </c>
      <c r="M116" s="14">
        <f>M$7*((1+'User Inputs'!$E$12)^$B115)</f>
        <v>78986.94247802849</v>
      </c>
      <c r="N116" s="14">
        <f>N$7*((1+'User Inputs'!$E$12)^$B115)</f>
        <v>83440.501653504951</v>
      </c>
      <c r="O116" s="14">
        <f>O$7*((1+'User Inputs'!$E$12)^$B115)</f>
        <v>82114.853548744257</v>
      </c>
      <c r="P116" s="14">
        <f>P$7*((1+'User Inputs'!$E$12)^$B115)</f>
        <v>79626.950828425732</v>
      </c>
      <c r="Q116" s="14">
        <f>Q$7*((1+'User Inputs'!$E$12)^$B115)</f>
        <v>85252.911171732456</v>
      </c>
      <c r="R116" s="14">
        <f>R$7*((1+'User Inputs'!$E$12)^$B115)</f>
        <v>83578.589997750852</v>
      </c>
      <c r="S116" s="14">
        <f>S$7*((1+'User Inputs'!$E$12)^$B115)</f>
        <v>88080.966263919865</v>
      </c>
      <c r="T116" s="14">
        <f>T$7*((1+'User Inputs'!$E$12)^$B115)</f>
        <v>85215.525368808012</v>
      </c>
      <c r="U116" s="4" t="s">
        <v>42</v>
      </c>
      <c r="V116" s="33">
        <v>19</v>
      </c>
      <c r="W116" s="14">
        <f>W$7*((1+'User Inputs'!$E$12)^$B115)</f>
        <v>99527.093512999534</v>
      </c>
      <c r="X116" s="14">
        <f>X$7*((1+'User Inputs'!$E$12)^$B115)</f>
        <v>109953.46374871876</v>
      </c>
      <c r="Y116" s="14">
        <f>Y$7*((1+'User Inputs'!$E$12)^$B115)</f>
        <v>135803.60179155221</v>
      </c>
      <c r="Z116" s="14">
        <f>Z$7*((1+'User Inputs'!$E$12)^$B115)</f>
        <v>112152.59937268776</v>
      </c>
      <c r="AA116" s="14">
        <f>AA$7*((1+'User Inputs'!$E$12)^$B115)</f>
        <v>170643.29104479411</v>
      </c>
      <c r="AB116" s="14">
        <f>AB$7*((1+'User Inputs'!$E$12)^$B115)</f>
        <v>130459.58286923569</v>
      </c>
      <c r="AC116" s="14">
        <f>AC$7*((1+'User Inputs'!$E$12)^$B115)</f>
        <v>274720.54241186171</v>
      </c>
      <c r="AD116" s="14">
        <f>AD$7*((1+'User Inputs'!$E$12)^$B115)</f>
        <v>279158.59901708545</v>
      </c>
    </row>
    <row r="117" spans="1:30" x14ac:dyDescent="0.25">
      <c r="A117" s="4" t="s">
        <v>42</v>
      </c>
      <c r="B117" s="33">
        <v>20</v>
      </c>
      <c r="C117" s="14">
        <f>C$7*((1+'User Inputs'!$E$12)^$B116)</f>
        <v>91042.158355424297</v>
      </c>
      <c r="D117" s="14">
        <f>D$7*((1+'User Inputs'!$E$12)^$B116)</f>
        <v>98630.922355134098</v>
      </c>
      <c r="E117" s="14">
        <f>E$7*((1+'User Inputs'!$E$12)^$B116)</f>
        <v>111138.4122235512</v>
      </c>
      <c r="F117" s="14">
        <f>F$7*((1+'User Inputs'!$E$12)^$B116)</f>
        <v>97807.570602567881</v>
      </c>
      <c r="G117" s="14">
        <f>G$7*((1+'User Inputs'!$E$12)^$B116)</f>
        <v>130507.06313042855</v>
      </c>
      <c r="H117" s="14">
        <f>H$7*((1+'User Inputs'!$E$12)^$B116)</f>
        <v>109159.46816216315</v>
      </c>
      <c r="I117" s="14">
        <f>I$7*((1+'User Inputs'!$E$12)^$B116)</f>
        <v>185028.76942464861</v>
      </c>
      <c r="J117" s="14">
        <f>J$7*((1+'User Inputs'!$E$12)^$B116)</f>
        <v>185830.80343680567</v>
      </c>
      <c r="K117" s="4" t="s">
        <v>42</v>
      </c>
      <c r="L117" s="33">
        <v>20</v>
      </c>
      <c r="M117" s="14">
        <f>M$7*((1+'User Inputs'!$E$12)^$B116)</f>
        <v>80566.68132758906</v>
      </c>
      <c r="N117" s="14">
        <f>N$7*((1+'User Inputs'!$E$12)^$B116)</f>
        <v>85109.311686575049</v>
      </c>
      <c r="O117" s="14">
        <f>O$7*((1+'User Inputs'!$E$12)^$B116)</f>
        <v>83757.150619719134</v>
      </c>
      <c r="P117" s="14">
        <f>P$7*((1+'User Inputs'!$E$12)^$B116)</f>
        <v>81219.489844994241</v>
      </c>
      <c r="Q117" s="14">
        <f>Q$7*((1+'User Inputs'!$E$12)^$B116)</f>
        <v>86957.969395167107</v>
      </c>
      <c r="R117" s="14">
        <f>R$7*((1+'User Inputs'!$E$12)^$B116)</f>
        <v>85250.161797705863</v>
      </c>
      <c r="S117" s="14">
        <f>S$7*((1+'User Inputs'!$E$12)^$B116)</f>
        <v>89842.585589198265</v>
      </c>
      <c r="T117" s="14">
        <f>T$7*((1+'User Inputs'!$E$12)^$B116)</f>
        <v>86919.835876184166</v>
      </c>
      <c r="U117" s="4" t="s">
        <v>42</v>
      </c>
      <c r="V117" s="33">
        <v>20</v>
      </c>
      <c r="W117" s="14">
        <f>W$7*((1+'User Inputs'!$E$12)^$B116)</f>
        <v>101517.63538325952</v>
      </c>
      <c r="X117" s="14">
        <f>X$7*((1+'User Inputs'!$E$12)^$B116)</f>
        <v>112152.53302369313</v>
      </c>
      <c r="Y117" s="14">
        <f>Y$7*((1+'User Inputs'!$E$12)^$B116)</f>
        <v>138519.67382738326</v>
      </c>
      <c r="Z117" s="14">
        <f>Z$7*((1+'User Inputs'!$E$12)^$B116)</f>
        <v>114395.65136014151</v>
      </c>
      <c r="AA117" s="14">
        <f>AA$7*((1+'User Inputs'!$E$12)^$B116)</f>
        <v>174056.15686568999</v>
      </c>
      <c r="AB117" s="14">
        <f>AB$7*((1+'User Inputs'!$E$12)^$B116)</f>
        <v>133068.7745266204</v>
      </c>
      <c r="AC117" s="14">
        <f>AC$7*((1+'User Inputs'!$E$12)^$B116)</f>
        <v>280214.95326009893</v>
      </c>
      <c r="AD117" s="14">
        <f>AD$7*((1+'User Inputs'!$E$12)^$B116)</f>
        <v>284741.77099742717</v>
      </c>
    </row>
    <row r="118" spans="1:30" x14ac:dyDescent="0.25">
      <c r="A118" s="4" t="s">
        <v>42</v>
      </c>
      <c r="B118" s="33">
        <v>21</v>
      </c>
      <c r="C118" s="14">
        <f>C$7*((1+'User Inputs'!$E$12)^$B117)</f>
        <v>92863.001522532781</v>
      </c>
      <c r="D118" s="14">
        <f>D$7*((1+'User Inputs'!$E$12)^$B117)</f>
        <v>100603.54080223679</v>
      </c>
      <c r="E118" s="14">
        <f>E$7*((1+'User Inputs'!$E$12)^$B117)</f>
        <v>113361.18046802224</v>
      </c>
      <c r="F118" s="14">
        <f>F$7*((1+'User Inputs'!$E$12)^$B117)</f>
        <v>99763.722014619241</v>
      </c>
      <c r="G118" s="14">
        <f>G$7*((1+'User Inputs'!$E$12)^$B117)</f>
        <v>133117.20439303713</v>
      </c>
      <c r="H118" s="14">
        <f>H$7*((1+'User Inputs'!$E$12)^$B117)</f>
        <v>111342.65752540641</v>
      </c>
      <c r="I118" s="14">
        <f>I$7*((1+'User Inputs'!$E$12)^$B117)</f>
        <v>188729.34481314159</v>
      </c>
      <c r="J118" s="14">
        <f>J$7*((1+'User Inputs'!$E$12)^$B117)</f>
        <v>189547.41950554179</v>
      </c>
      <c r="K118" s="4" t="s">
        <v>42</v>
      </c>
      <c r="L118" s="33">
        <v>21</v>
      </c>
      <c r="M118" s="14">
        <f>M$7*((1+'User Inputs'!$E$12)^$B117)</f>
        <v>82178.014954140846</v>
      </c>
      <c r="N118" s="14">
        <f>N$7*((1+'User Inputs'!$E$12)^$B117)</f>
        <v>86811.49792030656</v>
      </c>
      <c r="O118" s="14">
        <f>O$7*((1+'User Inputs'!$E$12)^$B117)</f>
        <v>85432.29363211352</v>
      </c>
      <c r="P118" s="14">
        <f>P$7*((1+'User Inputs'!$E$12)^$B117)</f>
        <v>82843.879641894135</v>
      </c>
      <c r="Q118" s="14">
        <f>Q$7*((1+'User Inputs'!$E$12)^$B117)</f>
        <v>88697.128783070453</v>
      </c>
      <c r="R118" s="14">
        <f>R$7*((1+'User Inputs'!$E$12)^$B117)</f>
        <v>86955.16503366</v>
      </c>
      <c r="S118" s="14">
        <f>S$7*((1+'User Inputs'!$E$12)^$B117)</f>
        <v>91639.437300982245</v>
      </c>
      <c r="T118" s="14">
        <f>T$7*((1+'User Inputs'!$E$12)^$B117)</f>
        <v>88658.232593707857</v>
      </c>
      <c r="U118" s="4" t="s">
        <v>42</v>
      </c>
      <c r="V118" s="33">
        <v>21</v>
      </c>
      <c r="W118" s="14">
        <f>W$7*((1+'User Inputs'!$E$12)^$B117)</f>
        <v>103547.98809092473</v>
      </c>
      <c r="X118" s="14">
        <f>X$7*((1+'User Inputs'!$E$12)^$B117)</f>
        <v>114395.583684167</v>
      </c>
      <c r="Y118" s="14">
        <f>Y$7*((1+'User Inputs'!$E$12)^$B117)</f>
        <v>141290.06730393093</v>
      </c>
      <c r="Z118" s="14">
        <f>Z$7*((1+'User Inputs'!$E$12)^$B117)</f>
        <v>116683.56438734435</v>
      </c>
      <c r="AA118" s="14">
        <f>AA$7*((1+'User Inputs'!$E$12)^$B117)</f>
        <v>177537.28000300381</v>
      </c>
      <c r="AB118" s="14">
        <f>AB$7*((1+'User Inputs'!$E$12)^$B117)</f>
        <v>135730.15001715283</v>
      </c>
      <c r="AC118" s="14">
        <f>AC$7*((1+'User Inputs'!$E$12)^$B117)</f>
        <v>285819.25232530094</v>
      </c>
      <c r="AD118" s="14">
        <f>AD$7*((1+'User Inputs'!$E$12)^$B117)</f>
        <v>290436.60641737573</v>
      </c>
    </row>
    <row r="119" spans="1:30" x14ac:dyDescent="0.25">
      <c r="A119" s="4" t="s">
        <v>42</v>
      </c>
      <c r="B119" s="33">
        <v>22</v>
      </c>
      <c r="C119" s="14">
        <f>C$7*((1+'User Inputs'!$E$12)^$B118)</f>
        <v>94720.261552983444</v>
      </c>
      <c r="D119" s="14">
        <f>D$7*((1+'User Inputs'!$E$12)^$B118)</f>
        <v>102615.61161828152</v>
      </c>
      <c r="E119" s="14">
        <f>E$7*((1+'User Inputs'!$E$12)^$B118)</f>
        <v>115628.40407738267</v>
      </c>
      <c r="F119" s="14">
        <f>F$7*((1+'User Inputs'!$E$12)^$B118)</f>
        <v>101758.99645491163</v>
      </c>
      <c r="G119" s="14">
        <f>G$7*((1+'User Inputs'!$E$12)^$B118)</f>
        <v>135779.54848089788</v>
      </c>
      <c r="H119" s="14">
        <f>H$7*((1+'User Inputs'!$E$12)^$B118)</f>
        <v>113569.51067591453</v>
      </c>
      <c r="I119" s="14">
        <f>I$7*((1+'User Inputs'!$E$12)^$B118)</f>
        <v>192503.93170940442</v>
      </c>
      <c r="J119" s="14">
        <f>J$7*((1+'User Inputs'!$E$12)^$B118)</f>
        <v>193338.36789565263</v>
      </c>
      <c r="K119" s="4" t="s">
        <v>42</v>
      </c>
      <c r="L119" s="33">
        <v>22</v>
      </c>
      <c r="M119" s="14">
        <f>M$7*((1+'User Inputs'!$E$12)^$B118)</f>
        <v>83821.575253223666</v>
      </c>
      <c r="N119" s="14">
        <f>N$7*((1+'User Inputs'!$E$12)^$B118)</f>
        <v>88547.727878712685</v>
      </c>
      <c r="O119" s="14">
        <f>O$7*((1+'User Inputs'!$E$12)^$B118)</f>
        <v>87140.939504755792</v>
      </c>
      <c r="P119" s="14">
        <f>P$7*((1+'User Inputs'!$E$12)^$B118)</f>
        <v>84500.757234732009</v>
      </c>
      <c r="Q119" s="14">
        <f>Q$7*((1+'User Inputs'!$E$12)^$B118)</f>
        <v>90471.071358731846</v>
      </c>
      <c r="R119" s="14">
        <f>R$7*((1+'User Inputs'!$E$12)^$B118)</f>
        <v>88694.268334333188</v>
      </c>
      <c r="S119" s="14">
        <f>S$7*((1+'User Inputs'!$E$12)^$B118)</f>
        <v>93472.226047001881</v>
      </c>
      <c r="T119" s="14">
        <f>T$7*((1+'User Inputs'!$E$12)^$B118)</f>
        <v>90431.397245582019</v>
      </c>
      <c r="U119" s="4" t="s">
        <v>42</v>
      </c>
      <c r="V119" s="33">
        <v>22</v>
      </c>
      <c r="W119" s="14">
        <f>W$7*((1+'User Inputs'!$E$12)^$B118)</f>
        <v>105618.94785274321</v>
      </c>
      <c r="X119" s="14">
        <f>X$7*((1+'User Inputs'!$E$12)^$B118)</f>
        <v>116683.49535785033</v>
      </c>
      <c r="Y119" s="14">
        <f>Y$7*((1+'User Inputs'!$E$12)^$B118)</f>
        <v>144115.86865000954</v>
      </c>
      <c r="Z119" s="14">
        <f>Z$7*((1+'User Inputs'!$E$12)^$B118)</f>
        <v>119017.23567509123</v>
      </c>
      <c r="AA119" s="14">
        <f>AA$7*((1+'User Inputs'!$E$12)^$B118)</f>
        <v>181088.02560306387</v>
      </c>
      <c r="AB119" s="14">
        <f>AB$7*((1+'User Inputs'!$E$12)^$B118)</f>
        <v>138444.75301749588</v>
      </c>
      <c r="AC119" s="14">
        <f>AC$7*((1+'User Inputs'!$E$12)^$B118)</f>
        <v>291535.63737180695</v>
      </c>
      <c r="AD119" s="14">
        <f>AD$7*((1+'User Inputs'!$E$12)^$B118)</f>
        <v>296245.33854572324</v>
      </c>
    </row>
    <row r="120" spans="1:30" x14ac:dyDescent="0.25">
      <c r="A120" s="4" t="s">
        <v>42</v>
      </c>
      <c r="B120" s="33">
        <v>23</v>
      </c>
      <c r="C120" s="14">
        <f>C$7*((1+'User Inputs'!$E$12)^$B119)</f>
        <v>96614.666784043118</v>
      </c>
      <c r="D120" s="14">
        <f>D$7*((1+'User Inputs'!$E$12)^$B119)</f>
        <v>104667.92385064716</v>
      </c>
      <c r="E120" s="14">
        <f>E$7*((1+'User Inputs'!$E$12)^$B119)</f>
        <v>117940.97215893034</v>
      </c>
      <c r="F120" s="14">
        <f>F$7*((1+'User Inputs'!$E$12)^$B119)</f>
        <v>103794.17638400986</v>
      </c>
      <c r="G120" s="14">
        <f>G$7*((1+'User Inputs'!$E$12)^$B119)</f>
        <v>138495.13945051582</v>
      </c>
      <c r="H120" s="14">
        <f>H$7*((1+'User Inputs'!$E$12)^$B119)</f>
        <v>115840.90088943283</v>
      </c>
      <c r="I120" s="14">
        <f>I$7*((1+'User Inputs'!$E$12)^$B119)</f>
        <v>196354.01034359253</v>
      </c>
      <c r="J120" s="14">
        <f>J$7*((1+'User Inputs'!$E$12)^$B119)</f>
        <v>197205.13525356568</v>
      </c>
      <c r="K120" s="4" t="s">
        <v>42</v>
      </c>
      <c r="L120" s="33">
        <v>23</v>
      </c>
      <c r="M120" s="14">
        <f>M$7*((1+'User Inputs'!$E$12)^$B119)</f>
        <v>85498.006758288146</v>
      </c>
      <c r="N120" s="14">
        <f>N$7*((1+'User Inputs'!$E$12)^$B119)</f>
        <v>90318.682436286937</v>
      </c>
      <c r="O120" s="14">
        <f>O$7*((1+'User Inputs'!$E$12)^$B119)</f>
        <v>88883.758294850908</v>
      </c>
      <c r="P120" s="14">
        <f>P$7*((1+'User Inputs'!$E$12)^$B119)</f>
        <v>86190.772379426649</v>
      </c>
      <c r="Q120" s="14">
        <f>Q$7*((1+'User Inputs'!$E$12)^$B119)</f>
        <v>92280.492785906492</v>
      </c>
      <c r="R120" s="14">
        <f>R$7*((1+'User Inputs'!$E$12)^$B119)</f>
        <v>90468.153701019852</v>
      </c>
      <c r="S120" s="14">
        <f>S$7*((1+'User Inputs'!$E$12)^$B119)</f>
        <v>95341.670567941925</v>
      </c>
      <c r="T120" s="14">
        <f>T$7*((1+'User Inputs'!$E$12)^$B119)</f>
        <v>92240.025190493659</v>
      </c>
      <c r="U120" s="4" t="s">
        <v>42</v>
      </c>
      <c r="V120" s="33">
        <v>23</v>
      </c>
      <c r="W120" s="14">
        <f>W$7*((1+'User Inputs'!$E$12)^$B119)</f>
        <v>107731.32680979808</v>
      </c>
      <c r="X120" s="14">
        <f>X$7*((1+'User Inputs'!$E$12)^$B119)</f>
        <v>119017.16526500735</v>
      </c>
      <c r="Y120" s="14">
        <f>Y$7*((1+'User Inputs'!$E$12)^$B119)</f>
        <v>146998.18602300974</v>
      </c>
      <c r="Z120" s="14">
        <f>Z$7*((1+'User Inputs'!$E$12)^$B119)</f>
        <v>121397.58038859307</v>
      </c>
      <c r="AA120" s="14">
        <f>AA$7*((1+'User Inputs'!$E$12)^$B119)</f>
        <v>184709.78611512517</v>
      </c>
      <c r="AB120" s="14">
        <f>AB$7*((1+'User Inputs'!$E$12)^$B119)</f>
        <v>141213.64807784581</v>
      </c>
      <c r="AC120" s="14">
        <f>AC$7*((1+'User Inputs'!$E$12)^$B119)</f>
        <v>297366.35011924314</v>
      </c>
      <c r="AD120" s="14">
        <f>AD$7*((1+'User Inputs'!$E$12)^$B119)</f>
        <v>302170.24531663774</v>
      </c>
    </row>
    <row r="121" spans="1:30" x14ac:dyDescent="0.25">
      <c r="A121" s="4" t="s">
        <v>42</v>
      </c>
      <c r="B121" s="33">
        <v>24</v>
      </c>
      <c r="C121" s="14">
        <f>C$7*((1+'User Inputs'!$E$12)^$B120)</f>
        <v>98546.960119723954</v>
      </c>
      <c r="D121" s="14">
        <f>D$7*((1+'User Inputs'!$E$12)^$B120)</f>
        <v>106761.28232766008</v>
      </c>
      <c r="E121" s="14">
        <f>E$7*((1+'User Inputs'!$E$12)^$B120)</f>
        <v>120299.79160210892</v>
      </c>
      <c r="F121" s="14">
        <f>F$7*((1+'User Inputs'!$E$12)^$B120)</f>
        <v>105870.05991169004</v>
      </c>
      <c r="G121" s="14">
        <f>G$7*((1+'User Inputs'!$E$12)^$B120)</f>
        <v>141265.04223952611</v>
      </c>
      <c r="H121" s="14">
        <f>H$7*((1+'User Inputs'!$E$12)^$B120)</f>
        <v>118157.71890722147</v>
      </c>
      <c r="I121" s="14">
        <f>I$7*((1+'User Inputs'!$E$12)^$B120)</f>
        <v>200281.09055046435</v>
      </c>
      <c r="J121" s="14">
        <f>J$7*((1+'User Inputs'!$E$12)^$B120)</f>
        <v>201149.23795863695</v>
      </c>
      <c r="K121" s="4" t="s">
        <v>42</v>
      </c>
      <c r="L121" s="33">
        <v>24</v>
      </c>
      <c r="M121" s="14">
        <f>M$7*((1+'User Inputs'!$E$12)^$B120)</f>
        <v>87207.966893453893</v>
      </c>
      <c r="N121" s="14">
        <f>N$7*((1+'User Inputs'!$E$12)^$B120)</f>
        <v>92125.056085012664</v>
      </c>
      <c r="O121" s="14">
        <f>O$7*((1+'User Inputs'!$E$12)^$B120)</f>
        <v>90661.43346074791</v>
      </c>
      <c r="P121" s="14">
        <f>P$7*((1+'User Inputs'!$E$12)^$B120)</f>
        <v>87914.587827015173</v>
      </c>
      <c r="Q121" s="14">
        <f>Q$7*((1+'User Inputs'!$E$12)^$B120)</f>
        <v>94126.102641624602</v>
      </c>
      <c r="R121" s="14">
        <f>R$7*((1+'User Inputs'!$E$12)^$B120)</f>
        <v>92277.516775040232</v>
      </c>
      <c r="S121" s="14">
        <f>S$7*((1+'User Inputs'!$E$12)^$B120)</f>
        <v>97248.503979300745</v>
      </c>
      <c r="T121" s="14">
        <f>T$7*((1+'User Inputs'!$E$12)^$B120)</f>
        <v>94084.825694303508</v>
      </c>
      <c r="U121" s="4" t="s">
        <v>42</v>
      </c>
      <c r="V121" s="33">
        <v>24</v>
      </c>
      <c r="W121" s="14">
        <f>W$7*((1+'User Inputs'!$E$12)^$B120)</f>
        <v>109885.95334599403</v>
      </c>
      <c r="X121" s="14">
        <f>X$7*((1+'User Inputs'!$E$12)^$B120)</f>
        <v>121397.50857030747</v>
      </c>
      <c r="Y121" s="14">
        <f>Y$7*((1+'User Inputs'!$E$12)^$B120)</f>
        <v>149938.1497434699</v>
      </c>
      <c r="Z121" s="14">
        <f>Z$7*((1+'User Inputs'!$E$12)^$B120)</f>
        <v>123825.53199636491</v>
      </c>
      <c r="AA121" s="14">
        <f>AA$7*((1+'User Inputs'!$E$12)^$B120)</f>
        <v>188403.98183742765</v>
      </c>
      <c r="AB121" s="14">
        <f>AB$7*((1+'User Inputs'!$E$12)^$B120)</f>
        <v>144037.92103940269</v>
      </c>
      <c r="AC121" s="14">
        <f>AC$7*((1+'User Inputs'!$E$12)^$B120)</f>
        <v>303313.67712162796</v>
      </c>
      <c r="AD121" s="14">
        <f>AD$7*((1+'User Inputs'!$E$12)^$B120)</f>
        <v>308213.65022297041</v>
      </c>
    </row>
    <row r="122" spans="1:30" x14ac:dyDescent="0.25">
      <c r="A122" s="4" t="s">
        <v>42</v>
      </c>
      <c r="B122" s="33">
        <v>25</v>
      </c>
      <c r="C122" s="14">
        <f>C$7*((1+'User Inputs'!$E$12)^$B121)</f>
        <v>100517.89932211844</v>
      </c>
      <c r="D122" s="14">
        <f>D$7*((1+'User Inputs'!$E$12)^$B121)</f>
        <v>108896.50797421328</v>
      </c>
      <c r="E122" s="14">
        <f>E$7*((1+'User Inputs'!$E$12)^$B121)</f>
        <v>122705.78743415111</v>
      </c>
      <c r="F122" s="14">
        <f>F$7*((1+'User Inputs'!$E$12)^$B121)</f>
        <v>107987.46110992384</v>
      </c>
      <c r="G122" s="14">
        <f>G$7*((1+'User Inputs'!$E$12)^$B121)</f>
        <v>144090.34308431664</v>
      </c>
      <c r="H122" s="14">
        <f>H$7*((1+'User Inputs'!$E$12)^$B121)</f>
        <v>120520.8732853659</v>
      </c>
      <c r="I122" s="14">
        <f>I$7*((1+'User Inputs'!$E$12)^$B121)</f>
        <v>204286.71236147362</v>
      </c>
      <c r="J122" s="14">
        <f>J$7*((1+'User Inputs'!$E$12)^$B121)</f>
        <v>205172.22271780972</v>
      </c>
      <c r="K122" s="4" t="s">
        <v>42</v>
      </c>
      <c r="L122" s="33">
        <v>25</v>
      </c>
      <c r="M122" s="14">
        <f>M$7*((1+'User Inputs'!$E$12)^$B121)</f>
        <v>88952.126231322967</v>
      </c>
      <c r="N122" s="14">
        <f>N$7*((1+'User Inputs'!$E$12)^$B121)</f>
        <v>93967.557206712925</v>
      </c>
      <c r="O122" s="14">
        <f>O$7*((1+'User Inputs'!$E$12)^$B121)</f>
        <v>92474.662129962875</v>
      </c>
      <c r="P122" s="14">
        <f>P$7*((1+'User Inputs'!$E$12)^$B121)</f>
        <v>89672.879583555477</v>
      </c>
      <c r="Q122" s="14">
        <f>Q$7*((1+'User Inputs'!$E$12)^$B121)</f>
        <v>96008.624694457103</v>
      </c>
      <c r="R122" s="14">
        <f>R$7*((1+'User Inputs'!$E$12)^$B121)</f>
        <v>94123.067110541044</v>
      </c>
      <c r="S122" s="14">
        <f>S$7*((1+'User Inputs'!$E$12)^$B121)</f>
        <v>99193.474058886757</v>
      </c>
      <c r="T122" s="14">
        <f>T$7*((1+'User Inputs'!$E$12)^$B121)</f>
        <v>95966.522208189592</v>
      </c>
      <c r="U122" s="4" t="s">
        <v>42</v>
      </c>
      <c r="V122" s="33">
        <v>25</v>
      </c>
      <c r="W122" s="14">
        <f>W$7*((1+'User Inputs'!$E$12)^$B121)</f>
        <v>112083.6724129139</v>
      </c>
      <c r="X122" s="14">
        <f>X$7*((1+'User Inputs'!$E$12)^$B121)</f>
        <v>123825.45874171362</v>
      </c>
      <c r="Y122" s="14">
        <f>Y$7*((1+'User Inputs'!$E$12)^$B121)</f>
        <v>152936.91273833931</v>
      </c>
      <c r="Z122" s="14">
        <f>Z$7*((1+'User Inputs'!$E$12)^$B121)</f>
        <v>126302.0426362922</v>
      </c>
      <c r="AA122" s="14">
        <f>AA$7*((1+'User Inputs'!$E$12)^$B121)</f>
        <v>192172.06147417621</v>
      </c>
      <c r="AB122" s="14">
        <f>AB$7*((1+'User Inputs'!$E$12)^$B121)</f>
        <v>146918.67946019073</v>
      </c>
      <c r="AC122" s="14">
        <f>AC$7*((1+'User Inputs'!$E$12)^$B121)</f>
        <v>309379.95066406048</v>
      </c>
      <c r="AD122" s="14">
        <f>AD$7*((1+'User Inputs'!$E$12)^$B121)</f>
        <v>314377.92322742986</v>
      </c>
    </row>
    <row r="127" spans="1:30" x14ac:dyDescent="0.25">
      <c r="A127" s="30" t="s">
        <v>34</v>
      </c>
      <c r="C127" s="196">
        <f>+C4</f>
        <v>255436.70624999999</v>
      </c>
      <c r="D127" s="196">
        <f>+D4</f>
        <v>272213.625</v>
      </c>
      <c r="E127" s="196">
        <f t="shared" ref="E127:J127" si="67">+E4</f>
        <v>272213.625</v>
      </c>
      <c r="F127" s="196">
        <f t="shared" si="67"/>
        <v>150085.35</v>
      </c>
      <c r="G127" s="196">
        <f t="shared" si="67"/>
        <v>122128.27499999999</v>
      </c>
      <c r="H127" s="196">
        <f t="shared" si="67"/>
        <v>122128.27499999999</v>
      </c>
      <c r="I127" s="196">
        <f t="shared" si="67"/>
        <v>77985.524999999994</v>
      </c>
      <c r="J127" s="196">
        <f t="shared" si="67"/>
        <v>98161.125000000015</v>
      </c>
      <c r="M127" s="41"/>
      <c r="O127" s="41"/>
    </row>
    <row r="128" spans="1:30" x14ac:dyDescent="0.25">
      <c r="A128" s="30" t="s">
        <v>2</v>
      </c>
      <c r="C128" s="196">
        <f t="shared" ref="C128:C131" si="68">+C5</f>
        <v>124406.45759918251</v>
      </c>
      <c r="D128" s="196">
        <f t="shared" ref="D128:J128" si="69">+D5</f>
        <v>148858.84756190548</v>
      </c>
      <c r="E128" s="196">
        <f t="shared" si="69"/>
        <v>179614.41481908434</v>
      </c>
      <c r="F128" s="196">
        <f t="shared" si="69"/>
        <v>106879.16211444358</v>
      </c>
      <c r="G128" s="196">
        <f t="shared" si="69"/>
        <v>151817.83710326909</v>
      </c>
      <c r="H128" s="196">
        <f t="shared" si="69"/>
        <v>154550.91068748425</v>
      </c>
      <c r="I128" s="196">
        <f t="shared" si="69"/>
        <v>187367.53836178585</v>
      </c>
      <c r="J128" s="196">
        <f t="shared" si="69"/>
        <v>205446.42155710104</v>
      </c>
      <c r="M128" s="41"/>
      <c r="O128" s="41"/>
    </row>
    <row r="129" spans="1:15" ht="30" x14ac:dyDescent="0.25">
      <c r="A129" s="108" t="s">
        <v>3</v>
      </c>
      <c r="C129" s="196">
        <f t="shared" si="68"/>
        <v>117536.38448275861</v>
      </c>
      <c r="D129" s="196">
        <f t="shared" ref="D129:J129" si="70">+D6</f>
        <v>111398.72164948453</v>
      </c>
      <c r="E129" s="196">
        <f t="shared" si="70"/>
        <v>162920.63041237113</v>
      </c>
      <c r="F129" s="196">
        <f t="shared" si="70"/>
        <v>63871.919999999984</v>
      </c>
      <c r="G129" s="196">
        <f t="shared" si="70"/>
        <v>117738.04218750002</v>
      </c>
      <c r="H129" s="196">
        <f t="shared" si="70"/>
        <v>75079.331250000003</v>
      </c>
      <c r="I129" s="196">
        <f t="shared" si="70"/>
        <v>156049.4142857143</v>
      </c>
      <c r="J129" s="196">
        <f t="shared" si="70"/>
        <v>100699.78285714284</v>
      </c>
      <c r="M129" s="41"/>
      <c r="O129" s="41"/>
    </row>
    <row r="130" spans="1:15" x14ac:dyDescent="0.25">
      <c r="A130" s="108" t="s">
        <v>38</v>
      </c>
      <c r="C130" s="196">
        <f t="shared" si="68"/>
        <v>62494.137931034486</v>
      </c>
      <c r="D130" s="196">
        <f t="shared" ref="D130:J130" si="71">+D7</f>
        <v>67703.298969072173</v>
      </c>
      <c r="E130" s="196">
        <f t="shared" si="71"/>
        <v>76288.824742268043</v>
      </c>
      <c r="F130" s="196">
        <f t="shared" si="71"/>
        <v>67138.125</v>
      </c>
      <c r="G130" s="196">
        <f t="shared" si="71"/>
        <v>89584.0625</v>
      </c>
      <c r="H130" s="196">
        <f t="shared" si="71"/>
        <v>74930.416666666672</v>
      </c>
      <c r="I130" s="196">
        <f t="shared" si="71"/>
        <v>127009.43877551021</v>
      </c>
      <c r="J130" s="196">
        <f t="shared" si="71"/>
        <v>127559.97959183673</v>
      </c>
      <c r="M130" s="41"/>
      <c r="O130" s="41"/>
    </row>
    <row r="131" spans="1:15" ht="30" x14ac:dyDescent="0.25">
      <c r="A131" s="111" t="s">
        <v>191</v>
      </c>
      <c r="C131" s="196">
        <f t="shared" si="68"/>
        <v>154240</v>
      </c>
      <c r="D131" s="196">
        <f t="shared" ref="D131:J131" si="72">+D8</f>
        <v>154240</v>
      </c>
      <c r="E131" s="196">
        <f t="shared" si="72"/>
        <v>154240</v>
      </c>
      <c r="F131" s="196">
        <f t="shared" si="72"/>
        <v>154240</v>
      </c>
      <c r="G131" s="196">
        <f t="shared" si="72"/>
        <v>154240</v>
      </c>
      <c r="H131" s="196">
        <f t="shared" si="72"/>
        <v>154240</v>
      </c>
      <c r="I131" s="196">
        <f t="shared" si="72"/>
        <v>154240</v>
      </c>
      <c r="J131" s="196">
        <f t="shared" si="72"/>
        <v>154240</v>
      </c>
      <c r="M131" s="41"/>
      <c r="O131" s="41"/>
    </row>
    <row r="133" spans="1:15" x14ac:dyDescent="0.25">
      <c r="C133" s="197">
        <f>SUM(C127:C131)</f>
        <v>714113.68626297556</v>
      </c>
      <c r="D133" s="197">
        <f t="shared" ref="D133:J133" si="73">SUM(D127:D131)</f>
        <v>754414.49318046228</v>
      </c>
      <c r="E133" s="197">
        <f t="shared" si="73"/>
        <v>845277.49497372354</v>
      </c>
      <c r="F133" s="197">
        <f t="shared" si="73"/>
        <v>542214.55711444351</v>
      </c>
      <c r="G133" s="197">
        <f t="shared" si="73"/>
        <v>635508.21679076913</v>
      </c>
      <c r="H133" s="197">
        <f t="shared" si="73"/>
        <v>580928.93360415089</v>
      </c>
      <c r="I133" s="197">
        <f t="shared" si="73"/>
        <v>702651.91642301029</v>
      </c>
      <c r="J133" s="197">
        <f t="shared" si="73"/>
        <v>686107.30900608061</v>
      </c>
      <c r="M133" s="41"/>
      <c r="O133" s="41"/>
    </row>
    <row r="135" spans="1:15" x14ac:dyDescent="0.25">
      <c r="A135" s="30" t="s">
        <v>34</v>
      </c>
      <c r="C135" s="41">
        <f>+C127/C$133</f>
        <v>0.35769753634988349</v>
      </c>
      <c r="D135" s="41">
        <f t="shared" ref="D135:J135" si="74">+D127/D$133</f>
        <v>0.36082767160583196</v>
      </c>
      <c r="E135" s="41">
        <f t="shared" si="74"/>
        <v>0.32204054481358468</v>
      </c>
      <c r="F135" s="41">
        <f t="shared" si="74"/>
        <v>0.27680066503327383</v>
      </c>
      <c r="G135" s="41">
        <f t="shared" si="74"/>
        <v>0.19217418716744739</v>
      </c>
      <c r="H135" s="41">
        <f t="shared" si="74"/>
        <v>0.21022928612335062</v>
      </c>
      <c r="I135" s="41">
        <f t="shared" si="74"/>
        <v>0.11098742233138829</v>
      </c>
      <c r="J135" s="41">
        <f t="shared" si="74"/>
        <v>0.14306963897848532</v>
      </c>
    </row>
    <row r="136" spans="1:15" x14ac:dyDescent="0.25">
      <c r="A136" s="30" t="s">
        <v>2</v>
      </c>
      <c r="C136" s="41">
        <f t="shared" ref="C136:J139" si="75">+C128/C$133</f>
        <v>0.17421099748166607</v>
      </c>
      <c r="D136" s="41">
        <f t="shared" si="75"/>
        <v>0.19731705701244687</v>
      </c>
      <c r="E136" s="41">
        <f t="shared" si="75"/>
        <v>0.21249165615685517</v>
      </c>
      <c r="F136" s="41">
        <f t="shared" si="75"/>
        <v>0.19711599534183094</v>
      </c>
      <c r="G136" s="41">
        <f t="shared" si="75"/>
        <v>0.23889201286795111</v>
      </c>
      <c r="H136" s="41">
        <f t="shared" si="75"/>
        <v>0.26604099356634275</v>
      </c>
      <c r="I136" s="41">
        <f t="shared" si="75"/>
        <v>0.26665769206980561</v>
      </c>
      <c r="J136" s="41">
        <f t="shared" si="75"/>
        <v>0.29943773934534823</v>
      </c>
    </row>
    <row r="137" spans="1:15" ht="30" x14ac:dyDescent="0.25">
      <c r="A137" s="108" t="s">
        <v>3</v>
      </c>
      <c r="C137" s="41">
        <f t="shared" si="75"/>
        <v>0.16459057814426947</v>
      </c>
      <c r="D137" s="41">
        <f t="shared" si="75"/>
        <v>0.1476624887995584</v>
      </c>
      <c r="E137" s="41">
        <f t="shared" si="75"/>
        <v>0.19274218393503509</v>
      </c>
      <c r="F137" s="41">
        <f t="shared" si="75"/>
        <v>0.11779823902167706</v>
      </c>
      <c r="G137" s="41">
        <f t="shared" si="75"/>
        <v>0.18526596364412293</v>
      </c>
      <c r="H137" s="41">
        <f t="shared" si="75"/>
        <v>0.12924013060289333</v>
      </c>
      <c r="I137" s="41">
        <f t="shared" si="75"/>
        <v>0.22208637112969815</v>
      </c>
      <c r="J137" s="41">
        <f t="shared" si="75"/>
        <v>0.14676972761450408</v>
      </c>
    </row>
    <row r="138" spans="1:15" x14ac:dyDescent="0.25">
      <c r="A138" s="108" t="s">
        <v>38</v>
      </c>
      <c r="C138" s="41">
        <f t="shared" si="75"/>
        <v>8.7512869635746962E-2</v>
      </c>
      <c r="D138" s="41">
        <f t="shared" si="75"/>
        <v>8.9742839753314457E-2</v>
      </c>
      <c r="E138" s="41">
        <f t="shared" si="75"/>
        <v>9.0252994071064879E-2</v>
      </c>
      <c r="F138" s="41">
        <f t="shared" si="75"/>
        <v>0.12382206290678649</v>
      </c>
      <c r="G138" s="41">
        <f t="shared" si="75"/>
        <v>0.14096444409859474</v>
      </c>
      <c r="H138" s="41">
        <f t="shared" si="75"/>
        <v>0.12898379187586617</v>
      </c>
      <c r="I138" s="41">
        <f t="shared" si="75"/>
        <v>0.18075726516491564</v>
      </c>
      <c r="J138" s="41">
        <f t="shared" si="75"/>
        <v>0.18591840943456009</v>
      </c>
    </row>
    <row r="139" spans="1:15" ht="30" x14ac:dyDescent="0.25">
      <c r="A139" s="111" t="s">
        <v>191</v>
      </c>
      <c r="C139" s="41">
        <f t="shared" si="75"/>
        <v>0.21598801838843407</v>
      </c>
      <c r="D139" s="41">
        <f t="shared" si="75"/>
        <v>0.20444994282884821</v>
      </c>
      <c r="E139" s="41">
        <f t="shared" si="75"/>
        <v>0.18247262102346015</v>
      </c>
      <c r="F139" s="41">
        <f t="shared" si="75"/>
        <v>0.28446303769643178</v>
      </c>
      <c r="G139" s="41">
        <f t="shared" si="75"/>
        <v>0.24270339222188381</v>
      </c>
      <c r="H139" s="41">
        <f t="shared" si="75"/>
        <v>0.26550579783154721</v>
      </c>
      <c r="I139" s="41">
        <f t="shared" si="75"/>
        <v>0.21951124930419244</v>
      </c>
      <c r="J139" s="41">
        <f t="shared" si="75"/>
        <v>0.22480448462710234</v>
      </c>
    </row>
    <row r="140" spans="1:15" x14ac:dyDescent="0.25">
      <c r="C140" s="41"/>
      <c r="D140" s="41"/>
      <c r="E140" s="41"/>
      <c r="F140" s="41"/>
      <c r="G140" s="41"/>
      <c r="H140" s="41"/>
      <c r="I140" s="41"/>
      <c r="J140" s="41"/>
    </row>
    <row r="141" spans="1:15" x14ac:dyDescent="0.25">
      <c r="A141" s="198" t="s">
        <v>52</v>
      </c>
      <c r="B141" s="198"/>
      <c r="C141" s="198">
        <v>108.78318862463823</v>
      </c>
      <c r="D141" s="198">
        <v>170.89125102207686</v>
      </c>
      <c r="E141" s="198">
        <v>179.71147943523633</v>
      </c>
      <c r="F141" s="198">
        <v>189.77072310405643</v>
      </c>
      <c r="G141" s="198">
        <v>268.44701844701842</v>
      </c>
      <c r="H141" s="198">
        <v>249.36386768447838</v>
      </c>
      <c r="I141" s="198">
        <v>432.3671497584541</v>
      </c>
      <c r="J141" s="198">
        <v>563.94129979035642</v>
      </c>
    </row>
    <row r="142" spans="1:15" x14ac:dyDescent="0.25">
      <c r="C142" s="14">
        <v>122.41754939523702</v>
      </c>
      <c r="D142" s="14">
        <v>185.77872744539411</v>
      </c>
      <c r="E142" s="14">
        <v>201.24405415294549</v>
      </c>
      <c r="F142" s="14">
        <v>204.17853751187084</v>
      </c>
      <c r="G142" s="14">
        <v>296.58891397040384</v>
      </c>
      <c r="H142" s="14">
        <v>260.83158630328444</v>
      </c>
      <c r="I142" s="14">
        <v>481.65954415954417</v>
      </c>
      <c r="J142" s="14">
        <v>588.82030178326477</v>
      </c>
    </row>
    <row r="143" spans="1:15" x14ac:dyDescent="0.25">
      <c r="C143" s="185">
        <v>132.06241348936706</v>
      </c>
      <c r="D143" s="185">
        <v>208.59453075315707</v>
      </c>
      <c r="E143" s="185">
        <v>222.78493963576835</v>
      </c>
      <c r="F143" s="185">
        <v>216.84303350970018</v>
      </c>
      <c r="G143" s="185">
        <v>326.46932646932646</v>
      </c>
      <c r="H143" s="185">
        <v>277.63641504099519</v>
      </c>
      <c r="I143" s="185">
        <v>532.75966183574883</v>
      </c>
      <c r="J143" s="185">
        <v>635.74423480083863</v>
      </c>
    </row>
    <row r="145" spans="3:10" x14ac:dyDescent="0.25">
      <c r="C145" s="199">
        <f>C143/C142</f>
        <v>1.0787866130450843</v>
      </c>
      <c r="D145" s="199">
        <f t="shared" ref="D145:J145" si="76">D143/D142</f>
        <v>1.122811710584406</v>
      </c>
      <c r="E145" s="199">
        <f t="shared" si="76"/>
        <v>1.1070386182264633</v>
      </c>
      <c r="F145" s="199">
        <f t="shared" si="76"/>
        <v>1.0620265780730898</v>
      </c>
      <c r="G145" s="199">
        <f t="shared" si="76"/>
        <v>1.1007468960957332</v>
      </c>
      <c r="H145" s="199">
        <f t="shared" si="76"/>
        <v>1.0644278899495354</v>
      </c>
      <c r="I145" s="199">
        <f t="shared" si="76"/>
        <v>1.1060917785100057</v>
      </c>
      <c r="J145" s="199">
        <f t="shared" si="76"/>
        <v>1.0796914319622861</v>
      </c>
    </row>
  </sheetData>
  <sheetProtection password="EF95" sheet="1" objects="1" scenarios="1"/>
  <pageMargins left="0.25" right="0.25" top="0.75" bottom="0.75" header="0.3" footer="0.3"/>
  <pageSetup orientation="landscape" r:id="rId1"/>
  <headerFooter>
    <oddHeader xml:space="preserve">&amp;COperating Costs
</oddHeader>
    <oddFooter>&amp;C&amp;D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D51"/>
  <sheetViews>
    <sheetView view="pageLayout" zoomScaleNormal="100" workbookViewId="0"/>
  </sheetViews>
  <sheetFormatPr defaultRowHeight="15" x14ac:dyDescent="0.25"/>
  <cols>
    <col min="1" max="1" width="18" customWidth="1"/>
    <col min="2" max="2" width="3" customWidth="1"/>
    <col min="3" max="4" width="13.7109375" bestFit="1" customWidth="1"/>
    <col min="5" max="5" width="14.28515625" bestFit="1" customWidth="1"/>
    <col min="6" max="8" width="13.7109375" bestFit="1" customWidth="1"/>
    <col min="9" max="9" width="15.140625" bestFit="1" customWidth="1"/>
    <col min="10" max="10" width="13.7109375" bestFit="1" customWidth="1"/>
    <col min="11" max="11" width="17.28515625" customWidth="1"/>
    <col min="12" max="12" width="3.28515625" customWidth="1"/>
    <col min="13" max="13" width="13.42578125" customWidth="1"/>
    <col min="14" max="14" width="13.28515625" customWidth="1"/>
    <col min="15" max="15" width="13.5703125" customWidth="1"/>
    <col min="16" max="16" width="13.85546875" customWidth="1"/>
    <col min="17" max="17" width="13.140625" bestFit="1" customWidth="1"/>
    <col min="18" max="18" width="12.5703125" bestFit="1" customWidth="1"/>
    <col min="19" max="19" width="14.28515625" bestFit="1" customWidth="1"/>
    <col min="20" max="20" width="12.7109375" customWidth="1"/>
    <col min="21" max="21" width="17.140625" customWidth="1"/>
    <col min="22" max="22" width="3.140625" customWidth="1"/>
    <col min="23" max="24" width="13.140625" bestFit="1" customWidth="1"/>
    <col min="25" max="25" width="12.5703125" bestFit="1" customWidth="1"/>
    <col min="26" max="30" width="13.140625" bestFit="1" customWidth="1"/>
  </cols>
  <sheetData>
    <row r="2" spans="1:30" x14ac:dyDescent="0.25">
      <c r="G2" s="16"/>
      <c r="H2" s="8"/>
      <c r="I2" s="10"/>
    </row>
    <row r="3" spans="1:30" ht="15" customHeight="1" x14ac:dyDescent="0.25">
      <c r="A3" s="115" t="s">
        <v>92</v>
      </c>
      <c r="B3" s="2"/>
      <c r="C3" s="42" t="str">
        <f>'Pax Service Overview'!B1</f>
        <v>12-30 Pax Skiff</v>
      </c>
      <c r="D3" s="42" t="str">
        <f>'Pax Service Overview'!C1</f>
        <v>31-50 Pax Pontoon</v>
      </c>
      <c r="E3" s="42" t="str">
        <f>'Pax Service Overview'!D1</f>
        <v>31-50 Pax Mono or Cat</v>
      </c>
      <c r="F3" s="42" t="str">
        <f>'Pax Service Overview'!E1</f>
        <v>51-100 Pax, &lt;20kt</v>
      </c>
      <c r="G3" s="42" t="str">
        <f>'Pax Service Overview'!F1</f>
        <v>51-100 Pax, &gt;20kt</v>
      </c>
      <c r="H3" s="42" t="str">
        <f>'Pax Service Overview'!G1</f>
        <v>101-150 Pax, &lt;20kt</v>
      </c>
      <c r="I3" s="42" t="str">
        <f>'Pax Service Overview'!H1</f>
        <v>101-150 Pax, &gt;20kt</v>
      </c>
      <c r="J3" s="42" t="str">
        <f>'Pax Service Overview'!I1</f>
        <v>151-300 Pax</v>
      </c>
      <c r="K3" s="115" t="s">
        <v>90</v>
      </c>
      <c r="L3" s="2"/>
      <c r="M3" s="42" t="str">
        <f>C3</f>
        <v>12-30 Pax Skiff</v>
      </c>
      <c r="N3" s="42" t="str">
        <f t="shared" ref="N3:T3" si="0">D3</f>
        <v>31-50 Pax Pontoon</v>
      </c>
      <c r="O3" s="42" t="str">
        <f t="shared" si="0"/>
        <v>31-50 Pax Mono or Cat</v>
      </c>
      <c r="P3" s="42" t="str">
        <f t="shared" si="0"/>
        <v>51-100 Pax, &lt;20kt</v>
      </c>
      <c r="Q3" s="42" t="str">
        <f t="shared" si="0"/>
        <v>51-100 Pax, &gt;20kt</v>
      </c>
      <c r="R3" s="42" t="str">
        <f t="shared" si="0"/>
        <v>101-150 Pax, &lt;20kt</v>
      </c>
      <c r="S3" s="42" t="str">
        <f t="shared" si="0"/>
        <v>101-150 Pax, &gt;20kt</v>
      </c>
      <c r="T3" s="42" t="str">
        <f t="shared" si="0"/>
        <v>151-300 Pax</v>
      </c>
      <c r="U3" s="115" t="s">
        <v>91</v>
      </c>
      <c r="V3" s="2"/>
      <c r="W3" s="42" t="str">
        <f>C3</f>
        <v>12-30 Pax Skiff</v>
      </c>
      <c r="X3" s="42" t="str">
        <f t="shared" ref="X3:AD3" si="1">D3</f>
        <v>31-50 Pax Pontoon</v>
      </c>
      <c r="Y3" s="42" t="str">
        <f t="shared" si="1"/>
        <v>31-50 Pax Mono or Cat</v>
      </c>
      <c r="Z3" s="42" t="str">
        <f t="shared" si="1"/>
        <v>51-100 Pax, &lt;20kt</v>
      </c>
      <c r="AA3" s="42" t="str">
        <f t="shared" si="1"/>
        <v>51-100 Pax, &gt;20kt</v>
      </c>
      <c r="AB3" s="42" t="str">
        <f t="shared" si="1"/>
        <v>101-150 Pax, &lt;20kt</v>
      </c>
      <c r="AC3" s="42" t="str">
        <f t="shared" si="1"/>
        <v>101-150 Pax, &gt;20kt</v>
      </c>
      <c r="AD3" s="42" t="str">
        <f t="shared" si="1"/>
        <v>151-300 Pax</v>
      </c>
    </row>
    <row r="4" spans="1:30" x14ac:dyDescent="0.25">
      <c r="A4" s="38" t="s">
        <v>44</v>
      </c>
      <c r="B4" s="34"/>
      <c r="C4" s="31"/>
      <c r="D4" s="31"/>
      <c r="E4" s="35"/>
      <c r="F4" s="35"/>
      <c r="G4" s="35"/>
      <c r="H4" s="35"/>
      <c r="I4" s="35"/>
      <c r="J4" s="36"/>
      <c r="K4" s="38" t="s">
        <v>44</v>
      </c>
      <c r="L4" s="34"/>
      <c r="M4" s="31"/>
      <c r="N4" s="31"/>
      <c r="O4" s="35"/>
      <c r="P4" s="35"/>
      <c r="Q4" s="35"/>
      <c r="R4" s="35"/>
      <c r="S4" s="35"/>
      <c r="T4" s="36"/>
      <c r="U4" s="38" t="s">
        <v>44</v>
      </c>
      <c r="V4" s="34"/>
      <c r="W4" s="31"/>
      <c r="X4" s="31"/>
      <c r="Y4" s="35"/>
      <c r="Z4" s="35"/>
      <c r="AA4" s="35"/>
      <c r="AB4" s="35"/>
      <c r="AC4" s="35"/>
      <c r="AD4" s="36"/>
    </row>
    <row r="5" spans="1:30" s="9" customFormat="1" x14ac:dyDescent="0.25">
      <c r="A5" s="4" t="s">
        <v>42</v>
      </c>
      <c r="B5" s="33">
        <v>0</v>
      </c>
      <c r="C5" s="14">
        <f>'Pax Capital'!C16+'Pax Operate Maint'!C14</f>
        <v>133541.37931034484</v>
      </c>
      <c r="D5" s="14">
        <f>'Pax Capital'!D16+'Pax Operate Maint'!D14</f>
        <v>185632.98969072165</v>
      </c>
      <c r="E5" s="14">
        <f>'Pax Capital'!E16+'Pax Operate Maint'!E14</f>
        <v>271488.24742268043</v>
      </c>
      <c r="F5" s="14">
        <f>'Pax Capital'!F16+'Pax Operate Maint'!F14</f>
        <v>179981.25</v>
      </c>
      <c r="G5" s="14">
        <f>'Pax Capital'!G16+'Pax Operate Maint'!G14</f>
        <v>404440.625</v>
      </c>
      <c r="H5" s="14">
        <f>'Pax Capital'!H16+'Pax Operate Maint'!H14</f>
        <v>257904.16666666672</v>
      </c>
      <c r="I5" s="14">
        <f>'Pax Capital'!I16+'Pax Operate Maint'!I14</f>
        <v>778694.38775510213</v>
      </c>
      <c r="J5" s="14">
        <f>'Pax Capital'!J16+'Pax Operate Maint'!J14</f>
        <v>784199.79591836734</v>
      </c>
      <c r="K5" s="4" t="s">
        <v>42</v>
      </c>
      <c r="L5" s="33">
        <v>0</v>
      </c>
      <c r="M5" s="14">
        <f>'Pax Capital'!M16+'Pax Operate Maint'!M14</f>
        <v>61634.482758620696</v>
      </c>
      <c r="N5" s="14">
        <f>'Pax Capital'!N16+'Pax Operate Maint'!N14</f>
        <v>92816.494845360823</v>
      </c>
      <c r="O5" s="14">
        <f>'Pax Capital'!O16+'Pax Operate Maint'!O14</f>
        <v>83534.845360824736</v>
      </c>
      <c r="P5" s="14">
        <f>'Pax Capital'!P16+'Pax Operate Maint'!P14</f>
        <v>66115.561224489793</v>
      </c>
      <c r="Q5" s="14">
        <f>'Pax Capital'!Q16+'Pax Operate Maint'!Q14</f>
        <v>105506.25</v>
      </c>
      <c r="R5" s="14">
        <f>'Pax Capital'!R16+'Pax Operate Maint'!R14</f>
        <v>93783.333333333343</v>
      </c>
      <c r="S5" s="14">
        <f>'Pax Capital'!S16+'Pax Operate Maint'!S14</f>
        <v>125307.14285714287</v>
      </c>
      <c r="T5" s="14">
        <f>'Pax Capital'!T16+'Pax Operate Maint'!T14</f>
        <v>105244.48979591837</v>
      </c>
      <c r="U5" s="4" t="s">
        <v>42</v>
      </c>
      <c r="V5" s="33">
        <v>0</v>
      </c>
      <c r="W5" s="14">
        <f>'Pax Capital'!W16+'Pax Operate Maint'!W14</f>
        <v>205448.27586206899</v>
      </c>
      <c r="X5" s="14">
        <f>'Pax Capital'!X16+'Pax Operate Maint'!X14</f>
        <v>278449.48453608243</v>
      </c>
      <c r="Y5" s="14">
        <f>'Pax Capital'!Y16+'Pax Operate Maint'!Y14</f>
        <v>459441.64948453609</v>
      </c>
      <c r="Z5" s="14">
        <f>'Pax Capital'!Z16+'Pax Operate Maint'!Z14</f>
        <v>293846.93877551024</v>
      </c>
      <c r="AA5" s="14">
        <f>'Pax Capital'!AA16+'Pax Operate Maint'!AA14</f>
        <v>703375</v>
      </c>
      <c r="AB5" s="14">
        <f>'Pax Capital'!AB16+'Pax Operate Maint'!AB14</f>
        <v>422025</v>
      </c>
      <c r="AC5" s="14">
        <f>'Pax Capital'!AC16+'Pax Operate Maint'!AC14</f>
        <v>1432081.6326530613</v>
      </c>
      <c r="AD5" s="14">
        <f>'Pax Capital'!AD16+'Pax Operate Maint'!AD14</f>
        <v>1463155.1020408163</v>
      </c>
    </row>
    <row r="6" spans="1:30" s="9" customFormat="1" x14ac:dyDescent="0.25">
      <c r="A6" s="4" t="s">
        <v>42</v>
      </c>
      <c r="B6" s="33">
        <v>1</v>
      </c>
      <c r="C6" s="14">
        <f>'Pax Capital'!C17+'Pax Operate Maint'!C15</f>
        <v>761733.69660135941</v>
      </c>
      <c r="D6" s="14">
        <f>'Pax Capital'!D17+'Pax Operate Maint'!D15</f>
        <v>819647.31943142926</v>
      </c>
      <c r="E6" s="14">
        <f>'Pax Capital'!E17+'Pax Operate Maint'!E15</f>
        <v>940171.81855438417</v>
      </c>
      <c r="F6" s="14">
        <f>'Pax Capital'!F17+'Pax Operate Maint'!F15</f>
        <v>605703.76014397317</v>
      </c>
      <c r="G6" s="14">
        <f>'Pax Capital'!G17+'Pax Operate Maint'!G15</f>
        <v>776892.40059993987</v>
      </c>
      <c r="H6" s="14">
        <f>'Pax Capital'!H17+'Pax Operate Maint'!H15</f>
        <v>671500.43102423195</v>
      </c>
      <c r="I6" s="14">
        <f>'Pax Capital'!I17+'Pax Operate Maint'!I15</f>
        <v>972593.36990717519</v>
      </c>
      <c r="J6" s="14">
        <f>'Pax Capital'!J17+'Pax Operate Maint'!J15</f>
        <v>957486.60769810132</v>
      </c>
      <c r="K6" s="4" t="s">
        <v>42</v>
      </c>
      <c r="L6" s="33">
        <v>1</v>
      </c>
      <c r="M6" s="14">
        <f>'Pax Capital'!M17+'Pax Operate Maint'!M15</f>
        <v>671005.85627731215</v>
      </c>
      <c r="N6" s="14">
        <f>'Pax Capital'!N17+'Pax Operate Maint'!N15</f>
        <v>713728.94200120762</v>
      </c>
      <c r="O6" s="14">
        <f>'Pax Capital'!O17+'Pax Operate Maint'!O15</f>
        <v>724537.10425818549</v>
      </c>
      <c r="P6" s="14">
        <f>'Pax Capital'!P17+'Pax Operate Maint'!P15</f>
        <v>505546.84049575683</v>
      </c>
      <c r="Q6" s="14">
        <f>'Pax Capital'!Q17+'Pax Operate Maint'!Q15</f>
        <v>534092.78266549576</v>
      </c>
      <c r="R6" s="14">
        <f>'Pax Capital'!R17+'Pax Operate Maint'!R15</f>
        <v>507061.4250994391</v>
      </c>
      <c r="S6" s="14">
        <f>'Pax Capital'!S17+'Pax Operate Maint'!S15</f>
        <v>519902.0504871544</v>
      </c>
      <c r="T6" s="14">
        <f>'Pax Capital'!T17+'Pax Operate Maint'!T15</f>
        <v>523002.76675825845</v>
      </c>
      <c r="U6" s="4" t="s">
        <v>42</v>
      </c>
      <c r="V6" s="33">
        <v>1</v>
      </c>
      <c r="W6" s="14">
        <f>'Pax Capital'!W17+'Pax Operate Maint'!W15</f>
        <v>852461.53692540654</v>
      </c>
      <c r="X6" s="14">
        <f>'Pax Capital'!X17+'Pax Operate Maint'!X15</f>
        <v>926565.69686165079</v>
      </c>
      <c r="Y6" s="14">
        <f>'Pax Capital'!Y17+'Pax Operate Maint'!Y15</f>
        <v>1155806.5328505829</v>
      </c>
      <c r="Z6" s="14">
        <f>'Pax Capital'!Z17+'Pax Operate Maint'!Z15</f>
        <v>705860.6797921895</v>
      </c>
      <c r="AA6" s="14">
        <f>'Pax Capital'!AA17+'Pax Operate Maint'!AA15</f>
        <v>1018692.018534384</v>
      </c>
      <c r="AB6" s="14">
        <f>'Pax Capital'!AB17+'Pax Operate Maint'!AB15</f>
        <v>835939.43694902479</v>
      </c>
      <c r="AC6" s="14">
        <f>'Pax Capital'!AC17+'Pax Operate Maint'!AC15</f>
        <v>1425284.6893271962</v>
      </c>
      <c r="AD6" s="14">
        <f>'Pax Capital'!AD17+'Pax Operate Maint'!AD15</f>
        <v>1391970.4486379442</v>
      </c>
    </row>
    <row r="7" spans="1:30" x14ac:dyDescent="0.25">
      <c r="A7" s="4" t="s">
        <v>42</v>
      </c>
      <c r="B7" s="33">
        <v>2</v>
      </c>
      <c r="C7" s="14">
        <f>'Pax Capital'!C18+'Pax Operate Maint'!C16</f>
        <v>788733.69660135941</v>
      </c>
      <c r="D7" s="14">
        <f>'Pax Capital'!D18+'Pax Operate Maint'!D16</f>
        <v>849647.31943142926</v>
      </c>
      <c r="E7" s="14">
        <f>'Pax Capital'!E18+'Pax Operate Maint'!E16</f>
        <v>975171.81855438417</v>
      </c>
      <c r="F7" s="14">
        <f>'Pax Capital'!F18+'Pax Operate Maint'!F16</f>
        <v>626703.76014397317</v>
      </c>
      <c r="G7" s="14">
        <f>'Pax Capital'!G18+'Pax Operate Maint'!G16</f>
        <v>803892.40059993987</v>
      </c>
      <c r="H7" s="14">
        <f>'Pax Capital'!H18+'Pax Operate Maint'!H16</f>
        <v>696500.43102423195</v>
      </c>
      <c r="I7" s="14">
        <f>'Pax Capital'!I18+'Pax Operate Maint'!I16</f>
        <v>1004593.3699071752</v>
      </c>
      <c r="J7" s="14">
        <f>'Pax Capital'!J18+'Pax Operate Maint'!J16</f>
        <v>989486.60769810132</v>
      </c>
      <c r="K7" s="4" t="s">
        <v>42</v>
      </c>
      <c r="L7" s="33">
        <v>2</v>
      </c>
      <c r="M7" s="14">
        <f>'Pax Capital'!M18+'Pax Operate Maint'!M16</f>
        <v>695005.85627731215</v>
      </c>
      <c r="N7" s="14">
        <f>'Pax Capital'!N18+'Pax Operate Maint'!N16</f>
        <v>739728.94200120762</v>
      </c>
      <c r="O7" s="14">
        <f>'Pax Capital'!O18+'Pax Operate Maint'!O16</f>
        <v>752537.10425818549</v>
      </c>
      <c r="P7" s="14">
        <f>'Pax Capital'!P18+'Pax Operate Maint'!P16</f>
        <v>523546.84049575683</v>
      </c>
      <c r="Q7" s="14">
        <f>'Pax Capital'!Q18+'Pax Operate Maint'!Q16</f>
        <v>555092.78266549576</v>
      </c>
      <c r="R7" s="14">
        <f>'Pax Capital'!R18+'Pax Operate Maint'!R16</f>
        <v>526061.4250994391</v>
      </c>
      <c r="S7" s="14">
        <f>'Pax Capital'!S18+'Pax Operate Maint'!S16</f>
        <v>541902.0504871544</v>
      </c>
      <c r="T7" s="14">
        <f>'Pax Capital'!T18+'Pax Operate Maint'!T16</f>
        <v>546002.76675825845</v>
      </c>
      <c r="U7" s="4" t="s">
        <v>42</v>
      </c>
      <c r="V7" s="33">
        <v>2</v>
      </c>
      <c r="W7" s="14">
        <f>'Pax Capital'!W18+'Pax Operate Maint'!W16</f>
        <v>881461.53692540654</v>
      </c>
      <c r="X7" s="14">
        <f>'Pax Capital'!X18+'Pax Operate Maint'!X16</f>
        <v>959565.69686165079</v>
      </c>
      <c r="Y7" s="14">
        <f>'Pax Capital'!Y18+'Pax Operate Maint'!Y16</f>
        <v>1197806.5328505829</v>
      </c>
      <c r="Z7" s="14">
        <f>'Pax Capital'!Z18+'Pax Operate Maint'!Z16</f>
        <v>729860.6797921895</v>
      </c>
      <c r="AA7" s="14">
        <f>'Pax Capital'!AA18+'Pax Operate Maint'!AA16</f>
        <v>1052692.018534384</v>
      </c>
      <c r="AB7" s="14">
        <f>'Pax Capital'!AB18+'Pax Operate Maint'!AB16</f>
        <v>867939.43694902479</v>
      </c>
      <c r="AC7" s="14">
        <f>'Pax Capital'!AC18+'Pax Operate Maint'!AC16</f>
        <v>1467284.6893271962</v>
      </c>
      <c r="AD7" s="14">
        <f>'Pax Capital'!AD18+'Pax Operate Maint'!AD16</f>
        <v>1432970.4486379442</v>
      </c>
    </row>
    <row r="8" spans="1:30" x14ac:dyDescent="0.25">
      <c r="A8" s="4" t="s">
        <v>42</v>
      </c>
      <c r="B8" s="33">
        <v>3</v>
      </c>
      <c r="C8" s="14">
        <f>'Pax Capital'!C19+'Pax Operate Maint'!C17</f>
        <v>816733.69660135941</v>
      </c>
      <c r="D8" s="14">
        <f>'Pax Capital'!D19+'Pax Operate Maint'!D17</f>
        <v>880647.31943142926</v>
      </c>
      <c r="E8" s="14">
        <f>'Pax Capital'!E19+'Pax Operate Maint'!E17</f>
        <v>1012171.8185543842</v>
      </c>
      <c r="F8" s="14">
        <f>'Pax Capital'!F19+'Pax Operate Maint'!F17</f>
        <v>648703.76014397317</v>
      </c>
      <c r="G8" s="14">
        <f>'Pax Capital'!G19+'Pax Operate Maint'!G17</f>
        <v>832892.40059993987</v>
      </c>
      <c r="H8" s="14">
        <f>'Pax Capital'!H19+'Pax Operate Maint'!H17</f>
        <v>724500.43102423195</v>
      </c>
      <c r="I8" s="14">
        <f>'Pax Capital'!I19+'Pax Operate Maint'!I17</f>
        <v>1038593.3699071752</v>
      </c>
      <c r="J8" s="14">
        <f>'Pax Capital'!J19+'Pax Operate Maint'!J17</f>
        <v>1024486.6076981013</v>
      </c>
      <c r="K8" s="4" t="s">
        <v>42</v>
      </c>
      <c r="L8" s="33">
        <v>3</v>
      </c>
      <c r="M8" s="14">
        <f>'Pax Capital'!M19+'Pax Operate Maint'!M17</f>
        <v>721005.85627731215</v>
      </c>
      <c r="N8" s="14">
        <f>'Pax Capital'!N19+'Pax Operate Maint'!N17</f>
        <v>766728.94200120762</v>
      </c>
      <c r="O8" s="14">
        <f>'Pax Capital'!O19+'Pax Operate Maint'!O17</f>
        <v>781537.10425818549</v>
      </c>
      <c r="P8" s="14">
        <f>'Pax Capital'!P19+'Pax Operate Maint'!P17</f>
        <v>542546.84049575683</v>
      </c>
      <c r="Q8" s="14">
        <f>'Pax Capital'!Q19+'Pax Operate Maint'!Q17</f>
        <v>577092.78266549576</v>
      </c>
      <c r="R8" s="14">
        <f>'Pax Capital'!R19+'Pax Operate Maint'!R17</f>
        <v>546061.4250994391</v>
      </c>
      <c r="S8" s="14">
        <f>'Pax Capital'!S19+'Pax Operate Maint'!S17</f>
        <v>565902.0504871544</v>
      </c>
      <c r="T8" s="14">
        <f>'Pax Capital'!T19+'Pax Operate Maint'!T17</f>
        <v>571002.76675825845</v>
      </c>
      <c r="U8" s="4" t="s">
        <v>42</v>
      </c>
      <c r="V8" s="33">
        <v>3</v>
      </c>
      <c r="W8" s="14">
        <f>'Pax Capital'!W19+'Pax Operate Maint'!W17</f>
        <v>912461.53692540654</v>
      </c>
      <c r="X8" s="14">
        <f>'Pax Capital'!X19+'Pax Operate Maint'!X17</f>
        <v>993565.69686165079</v>
      </c>
      <c r="Y8" s="14">
        <f>'Pax Capital'!Y19+'Pax Operate Maint'!Y17</f>
        <v>1241806.5328505829</v>
      </c>
      <c r="Z8" s="14">
        <f>'Pax Capital'!Z19+'Pax Operate Maint'!Z17</f>
        <v>754860.6797921895</v>
      </c>
      <c r="AA8" s="14">
        <f>'Pax Capital'!AA19+'Pax Operate Maint'!AA17</f>
        <v>1087692.018534384</v>
      </c>
      <c r="AB8" s="14">
        <f>'Pax Capital'!AB19+'Pax Operate Maint'!AB17</f>
        <v>901939.43694902479</v>
      </c>
      <c r="AC8" s="14">
        <f>'Pax Capital'!AC19+'Pax Operate Maint'!AC17</f>
        <v>1511284.6893271962</v>
      </c>
      <c r="AD8" s="14">
        <f>'Pax Capital'!AD19+'Pax Operate Maint'!AD17</f>
        <v>1477970.4486379442</v>
      </c>
    </row>
    <row r="9" spans="1:30" x14ac:dyDescent="0.25">
      <c r="A9" s="4" t="s">
        <v>42</v>
      </c>
      <c r="B9" s="33">
        <v>4</v>
      </c>
      <c r="C9" s="14">
        <f>'Pax Capital'!C20+'Pax Operate Maint'!C18</f>
        <v>846733.69660135941</v>
      </c>
      <c r="D9" s="14">
        <f>'Pax Capital'!D20+'Pax Operate Maint'!D18</f>
        <v>913647.31943142926</v>
      </c>
      <c r="E9" s="14">
        <f>'Pax Capital'!E20+'Pax Operate Maint'!E18</f>
        <v>1051171.8185543842</v>
      </c>
      <c r="F9" s="14">
        <f>'Pax Capital'!F20+'Pax Operate Maint'!F18</f>
        <v>671703.76014397317</v>
      </c>
      <c r="G9" s="14">
        <f>'Pax Capital'!G20+'Pax Operate Maint'!G18</f>
        <v>863892.40059993987</v>
      </c>
      <c r="H9" s="14">
        <f>'Pax Capital'!H20+'Pax Operate Maint'!H18</f>
        <v>753500.43102423195</v>
      </c>
      <c r="I9" s="14">
        <f>'Pax Capital'!I20+'Pax Operate Maint'!I18</f>
        <v>1075593.3699071752</v>
      </c>
      <c r="J9" s="14">
        <f>'Pax Capital'!J20+'Pax Operate Maint'!J18</f>
        <v>1061486.6076981013</v>
      </c>
      <c r="K9" s="4" t="s">
        <v>42</v>
      </c>
      <c r="L9" s="33">
        <v>4</v>
      </c>
      <c r="M9" s="14">
        <f>'Pax Capital'!M20+'Pax Operate Maint'!M18</f>
        <v>749005.85627731215</v>
      </c>
      <c r="N9" s="14">
        <f>'Pax Capital'!N20+'Pax Operate Maint'!N18</f>
        <v>796728.94200120762</v>
      </c>
      <c r="O9" s="14">
        <f>'Pax Capital'!O20+'Pax Operate Maint'!O18</f>
        <v>813537.10425818549</v>
      </c>
      <c r="P9" s="14">
        <f>'Pax Capital'!P20+'Pax Operate Maint'!P18</f>
        <v>562546.84049575683</v>
      </c>
      <c r="Q9" s="14">
        <f>'Pax Capital'!Q20+'Pax Operate Maint'!Q18</f>
        <v>601092.78266549576</v>
      </c>
      <c r="R9" s="14">
        <f>'Pax Capital'!R20+'Pax Operate Maint'!R18</f>
        <v>568061.4250994391</v>
      </c>
      <c r="S9" s="14">
        <f>'Pax Capital'!S20+'Pax Operate Maint'!S18</f>
        <v>591902.0504871544</v>
      </c>
      <c r="T9" s="14">
        <f>'Pax Capital'!T20+'Pax Operate Maint'!T18</f>
        <v>597002.76675825845</v>
      </c>
      <c r="U9" s="4" t="s">
        <v>42</v>
      </c>
      <c r="V9" s="33">
        <v>4</v>
      </c>
      <c r="W9" s="14">
        <f>'Pax Capital'!W20+'Pax Operate Maint'!W18</f>
        <v>944461.53692540654</v>
      </c>
      <c r="X9" s="14">
        <f>'Pax Capital'!X20+'Pax Operate Maint'!X18</f>
        <v>1030565.6968616508</v>
      </c>
      <c r="Y9" s="14">
        <f>'Pax Capital'!Y20+'Pax Operate Maint'!Y18</f>
        <v>1288806.5328505829</v>
      </c>
      <c r="Z9" s="14">
        <f>'Pax Capital'!Z20+'Pax Operate Maint'!Z18</f>
        <v>780860.6797921895</v>
      </c>
      <c r="AA9" s="14">
        <f>'Pax Capital'!AA20+'Pax Operate Maint'!AA18</f>
        <v>1126692.018534384</v>
      </c>
      <c r="AB9" s="14">
        <f>'Pax Capital'!AB20+'Pax Operate Maint'!AB18</f>
        <v>938939.43694902479</v>
      </c>
      <c r="AC9" s="14">
        <f>'Pax Capital'!AC20+'Pax Operate Maint'!AC18</f>
        <v>1559284.6893271962</v>
      </c>
      <c r="AD9" s="14">
        <f>'Pax Capital'!AD20+'Pax Operate Maint'!AD18</f>
        <v>1525970.4486379442</v>
      </c>
    </row>
    <row r="10" spans="1:30" x14ac:dyDescent="0.25">
      <c r="A10" s="4" t="s">
        <v>42</v>
      </c>
      <c r="B10" s="33">
        <v>5</v>
      </c>
      <c r="C10" s="14">
        <f>'Pax Capital'!C21+'Pax Operate Maint'!C19</f>
        <v>878733.69660135941</v>
      </c>
      <c r="D10" s="14">
        <f>'Pax Capital'!D21+'Pax Operate Maint'!D19</f>
        <v>948647.31943142926</v>
      </c>
      <c r="E10" s="14">
        <f>'Pax Capital'!E21+'Pax Operate Maint'!E19</f>
        <v>1093171.8185543842</v>
      </c>
      <c r="F10" s="14">
        <f>'Pax Capital'!F21+'Pax Operate Maint'!F19</f>
        <v>696703.76014397317</v>
      </c>
      <c r="G10" s="14">
        <f>'Pax Capital'!G21+'Pax Operate Maint'!G19</f>
        <v>896892.40059993987</v>
      </c>
      <c r="H10" s="14">
        <f>'Pax Capital'!H21+'Pax Operate Maint'!H19</f>
        <v>784500.43102423195</v>
      </c>
      <c r="I10" s="14">
        <f>'Pax Capital'!I21+'Pax Operate Maint'!I19</f>
        <v>1115593.3699071752</v>
      </c>
      <c r="J10" s="14">
        <f>'Pax Capital'!J21+'Pax Operate Maint'!J19</f>
        <v>1101486.6076981013</v>
      </c>
      <c r="K10" s="4" t="s">
        <v>42</v>
      </c>
      <c r="L10" s="33">
        <v>5</v>
      </c>
      <c r="M10" s="14">
        <f>'Pax Capital'!M21+'Pax Operate Maint'!M19</f>
        <v>778005.85627731215</v>
      </c>
      <c r="N10" s="14">
        <f>'Pax Capital'!N21+'Pax Operate Maint'!N19</f>
        <v>827728.94200120762</v>
      </c>
      <c r="O10" s="14">
        <f>'Pax Capital'!O21+'Pax Operate Maint'!O19</f>
        <v>847537.10425818549</v>
      </c>
      <c r="P10" s="14">
        <f>'Pax Capital'!P21+'Pax Operate Maint'!P19</f>
        <v>584546.84049575683</v>
      </c>
      <c r="Q10" s="14">
        <f>'Pax Capital'!Q21+'Pax Operate Maint'!Q19</f>
        <v>627092.78266549576</v>
      </c>
      <c r="R10" s="14">
        <f>'Pax Capital'!R21+'Pax Operate Maint'!R19</f>
        <v>591061.4250994391</v>
      </c>
      <c r="S10" s="14">
        <f>'Pax Capital'!S21+'Pax Operate Maint'!S19</f>
        <v>619902.0504871544</v>
      </c>
      <c r="T10" s="14">
        <f>'Pax Capital'!T21+'Pax Operate Maint'!T19</f>
        <v>626002.76675825845</v>
      </c>
      <c r="U10" s="4" t="s">
        <v>42</v>
      </c>
      <c r="V10" s="33">
        <v>5</v>
      </c>
      <c r="W10" s="14">
        <f>'Pax Capital'!W21+'Pax Operate Maint'!W19</f>
        <v>978461.53692540654</v>
      </c>
      <c r="X10" s="14">
        <f>'Pax Capital'!X21+'Pax Operate Maint'!X19</f>
        <v>1069565.6968616508</v>
      </c>
      <c r="Y10" s="14">
        <f>'Pax Capital'!Y21+'Pax Operate Maint'!Y19</f>
        <v>1338806.5328505829</v>
      </c>
      <c r="Z10" s="14">
        <f>'Pax Capital'!Z21+'Pax Operate Maint'!Z19</f>
        <v>809860.6797921895</v>
      </c>
      <c r="AA10" s="14">
        <f>'Pax Capital'!AA21+'Pax Operate Maint'!AA19</f>
        <v>1166692.018534384</v>
      </c>
      <c r="AB10" s="14">
        <f>'Pax Capital'!AB21+'Pax Operate Maint'!AB19</f>
        <v>978939.43694902479</v>
      </c>
      <c r="AC10" s="14">
        <f>'Pax Capital'!AC21+'Pax Operate Maint'!AC19</f>
        <v>1610284.6893271962</v>
      </c>
      <c r="AD10" s="14">
        <f>'Pax Capital'!AD21+'Pax Operate Maint'!AD19</f>
        <v>1576970.4486379442</v>
      </c>
    </row>
    <row r="11" spans="1:30" x14ac:dyDescent="0.25">
      <c r="A11" s="4" t="s">
        <v>42</v>
      </c>
      <c r="B11" s="33">
        <v>6</v>
      </c>
      <c r="C11" s="14">
        <f>'Pax Capital'!C22+'Pax Operate Maint'!C20</f>
        <v>911733.69660135941</v>
      </c>
      <c r="D11" s="14">
        <f>'Pax Capital'!D22+'Pax Operate Maint'!D20</f>
        <v>986647.31943142926</v>
      </c>
      <c r="E11" s="14">
        <f>'Pax Capital'!E22+'Pax Operate Maint'!E20</f>
        <v>1137171.8185543842</v>
      </c>
      <c r="F11" s="14">
        <f>'Pax Capital'!F22+'Pax Operate Maint'!F20</f>
        <v>723703.76014397317</v>
      </c>
      <c r="G11" s="14">
        <f>'Pax Capital'!G22+'Pax Operate Maint'!G20</f>
        <v>932892.40059993987</v>
      </c>
      <c r="H11" s="14">
        <f>'Pax Capital'!H22+'Pax Operate Maint'!H20</f>
        <v>818500.43102423195</v>
      </c>
      <c r="I11" s="14">
        <f>'Pax Capital'!I22+'Pax Operate Maint'!I20</f>
        <v>1157593.3699071752</v>
      </c>
      <c r="J11" s="14">
        <f>'Pax Capital'!J22+'Pax Operate Maint'!J20</f>
        <v>1144486.6076981013</v>
      </c>
      <c r="K11" s="4" t="s">
        <v>42</v>
      </c>
      <c r="L11" s="33">
        <v>6</v>
      </c>
      <c r="M11" s="14">
        <f>'Pax Capital'!M22+'Pax Operate Maint'!M20</f>
        <v>810005.85627731215</v>
      </c>
      <c r="N11" s="14">
        <f>'Pax Capital'!N22+'Pax Operate Maint'!N20</f>
        <v>860728.94200120762</v>
      </c>
      <c r="O11" s="14">
        <f>'Pax Capital'!O22+'Pax Operate Maint'!O20</f>
        <v>883537.10425818549</v>
      </c>
      <c r="P11" s="14">
        <f>'Pax Capital'!P22+'Pax Operate Maint'!P20</f>
        <v>607546.84049575683</v>
      </c>
      <c r="Q11" s="14">
        <f>'Pax Capital'!Q22+'Pax Operate Maint'!Q20</f>
        <v>654092.78266549576</v>
      </c>
      <c r="R11" s="14">
        <f>'Pax Capital'!R22+'Pax Operate Maint'!R20</f>
        <v>615061.4250994391</v>
      </c>
      <c r="S11" s="14">
        <f>'Pax Capital'!S22+'Pax Operate Maint'!S20</f>
        <v>650902.0504871544</v>
      </c>
      <c r="T11" s="14">
        <f>'Pax Capital'!T22+'Pax Operate Maint'!T20</f>
        <v>656002.76675825845</v>
      </c>
      <c r="U11" s="4" t="s">
        <v>42</v>
      </c>
      <c r="V11" s="33">
        <v>6</v>
      </c>
      <c r="W11" s="14">
        <f>'Pax Capital'!W22+'Pax Operate Maint'!W20</f>
        <v>1014461.5369254065</v>
      </c>
      <c r="X11" s="14">
        <f>'Pax Capital'!X22+'Pax Operate Maint'!X20</f>
        <v>1111565.6968616508</v>
      </c>
      <c r="Y11" s="14">
        <f>'Pax Capital'!Y22+'Pax Operate Maint'!Y20</f>
        <v>1391806.5328505829</v>
      </c>
      <c r="Z11" s="14">
        <f>'Pax Capital'!Z22+'Pax Operate Maint'!Z20</f>
        <v>839860.6797921895</v>
      </c>
      <c r="AA11" s="14">
        <f>'Pax Capital'!AA22+'Pax Operate Maint'!AA20</f>
        <v>1210692.018534384</v>
      </c>
      <c r="AB11" s="14">
        <f>'Pax Capital'!AB22+'Pax Operate Maint'!AB20</f>
        <v>1020939.4369490248</v>
      </c>
      <c r="AC11" s="14">
        <f>'Pax Capital'!AC22+'Pax Operate Maint'!AC20</f>
        <v>1664284.6893271962</v>
      </c>
      <c r="AD11" s="14">
        <f>'Pax Capital'!AD22+'Pax Operate Maint'!AD20</f>
        <v>1631970.4486379442</v>
      </c>
    </row>
    <row r="12" spans="1:30" x14ac:dyDescent="0.25">
      <c r="A12" s="4" t="s">
        <v>42</v>
      </c>
      <c r="B12" s="33">
        <v>7</v>
      </c>
      <c r="C12" s="14">
        <f>'Pax Capital'!C23+'Pax Operate Maint'!C21</f>
        <v>947733.69660135941</v>
      </c>
      <c r="D12" s="14">
        <f>'Pax Capital'!D23+'Pax Operate Maint'!D21</f>
        <v>1026647.3194314293</v>
      </c>
      <c r="E12" s="14">
        <f>'Pax Capital'!E23+'Pax Operate Maint'!E21</f>
        <v>1185171.8185543842</v>
      </c>
      <c r="F12" s="14">
        <f>'Pax Capital'!F23+'Pax Operate Maint'!F21</f>
        <v>751703.76014397317</v>
      </c>
      <c r="G12" s="14">
        <f>'Pax Capital'!G23+'Pax Operate Maint'!G21</f>
        <v>970892.40059993987</v>
      </c>
      <c r="H12" s="14">
        <f>'Pax Capital'!H23+'Pax Operate Maint'!H21</f>
        <v>854500.43102423195</v>
      </c>
      <c r="I12" s="14">
        <f>'Pax Capital'!I23+'Pax Operate Maint'!I21</f>
        <v>1202593.3699071752</v>
      </c>
      <c r="J12" s="14">
        <f>'Pax Capital'!J23+'Pax Operate Maint'!J21</f>
        <v>1190486.6076981013</v>
      </c>
      <c r="K12" s="4" t="s">
        <v>42</v>
      </c>
      <c r="L12" s="33">
        <v>7</v>
      </c>
      <c r="M12" s="14">
        <f>'Pax Capital'!M23+'Pax Operate Maint'!M21</f>
        <v>843005.85627731215</v>
      </c>
      <c r="N12" s="14">
        <f>'Pax Capital'!N23+'Pax Operate Maint'!N21</f>
        <v>896728.94200120762</v>
      </c>
      <c r="O12" s="14">
        <f>'Pax Capital'!O23+'Pax Operate Maint'!O21</f>
        <v>922537.10425818549</v>
      </c>
      <c r="P12" s="14">
        <f>'Pax Capital'!P23+'Pax Operate Maint'!P21</f>
        <v>632546.84049575683</v>
      </c>
      <c r="Q12" s="14">
        <f>'Pax Capital'!Q23+'Pax Operate Maint'!Q21</f>
        <v>684092.78266549576</v>
      </c>
      <c r="R12" s="14">
        <f>'Pax Capital'!R23+'Pax Operate Maint'!R21</f>
        <v>642061.4250994391</v>
      </c>
      <c r="S12" s="14">
        <f>'Pax Capital'!S23+'Pax Operate Maint'!S21</f>
        <v>682902.0504871544</v>
      </c>
      <c r="T12" s="14">
        <f>'Pax Capital'!T23+'Pax Operate Maint'!T21</f>
        <v>690002.76675825845</v>
      </c>
      <c r="U12" s="4" t="s">
        <v>42</v>
      </c>
      <c r="V12" s="33">
        <v>7</v>
      </c>
      <c r="W12" s="14">
        <f>'Pax Capital'!W23+'Pax Operate Maint'!W21</f>
        <v>1053461.5369254064</v>
      </c>
      <c r="X12" s="14">
        <f>'Pax Capital'!X23+'Pax Operate Maint'!X21</f>
        <v>1155565.6968616508</v>
      </c>
      <c r="Y12" s="14">
        <f>'Pax Capital'!Y23+'Pax Operate Maint'!Y21</f>
        <v>1447806.5328505829</v>
      </c>
      <c r="Z12" s="14">
        <f>'Pax Capital'!Z23+'Pax Operate Maint'!Z21</f>
        <v>871860.6797921895</v>
      </c>
      <c r="AA12" s="14">
        <f>'Pax Capital'!AA23+'Pax Operate Maint'!AA21</f>
        <v>1256692.018534384</v>
      </c>
      <c r="AB12" s="14">
        <f>'Pax Capital'!AB23+'Pax Operate Maint'!AB21</f>
        <v>1066939.4369490249</v>
      </c>
      <c r="AC12" s="14">
        <f>'Pax Capital'!AC23+'Pax Operate Maint'!AC21</f>
        <v>1722284.6893271962</v>
      </c>
      <c r="AD12" s="14">
        <f>'Pax Capital'!AD23+'Pax Operate Maint'!AD21</f>
        <v>1690970.4486379442</v>
      </c>
    </row>
    <row r="13" spans="1:30" x14ac:dyDescent="0.25">
      <c r="A13" s="4" t="s">
        <v>42</v>
      </c>
      <c r="B13" s="33">
        <v>8</v>
      </c>
      <c r="C13" s="14">
        <f>'Pax Capital'!C24+'Pax Operate Maint'!C22</f>
        <v>986733.69660135941</v>
      </c>
      <c r="D13" s="14">
        <f>'Pax Capital'!D24+'Pax Operate Maint'!D22</f>
        <v>1069647.3194314293</v>
      </c>
      <c r="E13" s="14">
        <f>'Pax Capital'!E24+'Pax Operate Maint'!E22</f>
        <v>1236171.8185543842</v>
      </c>
      <c r="F13" s="14">
        <f>'Pax Capital'!F24+'Pax Operate Maint'!F22</f>
        <v>782703.76014397317</v>
      </c>
      <c r="G13" s="14">
        <f>'Pax Capital'!G24+'Pax Operate Maint'!G22</f>
        <v>1010892.4005999399</v>
      </c>
      <c r="H13" s="14">
        <f>'Pax Capital'!H24+'Pax Operate Maint'!H22</f>
        <v>893500.43102423195</v>
      </c>
      <c r="I13" s="14">
        <f>'Pax Capital'!I24+'Pax Operate Maint'!I22</f>
        <v>1251593.3699071752</v>
      </c>
      <c r="J13" s="14">
        <f>'Pax Capital'!J24+'Pax Operate Maint'!J22</f>
        <v>1240486.6076981013</v>
      </c>
      <c r="K13" s="4" t="s">
        <v>42</v>
      </c>
      <c r="L13" s="33">
        <v>8</v>
      </c>
      <c r="M13" s="14">
        <f>'Pax Capital'!M24+'Pax Operate Maint'!M22</f>
        <v>879005.85627731215</v>
      </c>
      <c r="N13" s="14">
        <f>'Pax Capital'!N24+'Pax Operate Maint'!N22</f>
        <v>934728.94200120762</v>
      </c>
      <c r="O13" s="14">
        <f>'Pax Capital'!O24+'Pax Operate Maint'!O22</f>
        <v>963537.10425818549</v>
      </c>
      <c r="P13" s="14">
        <f>'Pax Capital'!P24+'Pax Operate Maint'!P22</f>
        <v>658546.84049575683</v>
      </c>
      <c r="Q13" s="14">
        <f>'Pax Capital'!Q24+'Pax Operate Maint'!Q22</f>
        <v>716092.78266549576</v>
      </c>
      <c r="R13" s="14">
        <f>'Pax Capital'!R24+'Pax Operate Maint'!R22</f>
        <v>670061.4250994391</v>
      </c>
      <c r="S13" s="14">
        <f>'Pax Capital'!S24+'Pax Operate Maint'!S22</f>
        <v>718902.0504871544</v>
      </c>
      <c r="T13" s="14">
        <f>'Pax Capital'!T24+'Pax Operate Maint'!T22</f>
        <v>726002.76675825845</v>
      </c>
      <c r="U13" s="4" t="s">
        <v>42</v>
      </c>
      <c r="V13" s="33">
        <v>8</v>
      </c>
      <c r="W13" s="14">
        <f>'Pax Capital'!W24+'Pax Operate Maint'!W22</f>
        <v>1093461.5369254064</v>
      </c>
      <c r="X13" s="14">
        <f>'Pax Capital'!X24+'Pax Operate Maint'!X22</f>
        <v>1203565.6968616508</v>
      </c>
      <c r="Y13" s="14">
        <f>'Pax Capital'!Y24+'Pax Operate Maint'!Y22</f>
        <v>1507806.5328505829</v>
      </c>
      <c r="Z13" s="14">
        <f>'Pax Capital'!Z24+'Pax Operate Maint'!Z22</f>
        <v>905860.6797921895</v>
      </c>
      <c r="AA13" s="14">
        <f>'Pax Capital'!AA24+'Pax Operate Maint'!AA22</f>
        <v>1306692.018534384</v>
      </c>
      <c r="AB13" s="14">
        <f>'Pax Capital'!AB24+'Pax Operate Maint'!AB22</f>
        <v>1116939.4369490249</v>
      </c>
      <c r="AC13" s="14">
        <f>'Pax Capital'!AC24+'Pax Operate Maint'!AC22</f>
        <v>1785284.6893271962</v>
      </c>
      <c r="AD13" s="14">
        <f>'Pax Capital'!AD24+'Pax Operate Maint'!AD22</f>
        <v>1754970.4486379442</v>
      </c>
    </row>
    <row r="14" spans="1:30" x14ac:dyDescent="0.25">
      <c r="A14" s="4" t="s">
        <v>42</v>
      </c>
      <c r="B14" s="33">
        <v>9</v>
      </c>
      <c r="C14" s="14">
        <f>'Pax Capital'!C25+'Pax Operate Maint'!C23</f>
        <v>1027733.6966013594</v>
      </c>
      <c r="D14" s="14">
        <f>'Pax Capital'!D25+'Pax Operate Maint'!D23</f>
        <v>1114647.3194314293</v>
      </c>
      <c r="E14" s="14">
        <f>'Pax Capital'!E25+'Pax Operate Maint'!E23</f>
        <v>1290171.8185543842</v>
      </c>
      <c r="F14" s="14">
        <f>'Pax Capital'!F25+'Pax Operate Maint'!F23</f>
        <v>814703.76014397317</v>
      </c>
      <c r="G14" s="14">
        <f>'Pax Capital'!G25+'Pax Operate Maint'!G23</f>
        <v>1054892.40059994</v>
      </c>
      <c r="H14" s="14">
        <f>'Pax Capital'!H25+'Pax Operate Maint'!H23</f>
        <v>935500.43102423195</v>
      </c>
      <c r="I14" s="14">
        <f>'Pax Capital'!I25+'Pax Operate Maint'!I23</f>
        <v>1304593.3699071752</v>
      </c>
      <c r="J14" s="14">
        <f>'Pax Capital'!J25+'Pax Operate Maint'!J23</f>
        <v>1293486.6076981013</v>
      </c>
      <c r="K14" s="4" t="s">
        <v>42</v>
      </c>
      <c r="L14" s="33">
        <v>9</v>
      </c>
      <c r="M14" s="14">
        <f>'Pax Capital'!M25+'Pax Operate Maint'!M23</f>
        <v>917005.85627731215</v>
      </c>
      <c r="N14" s="14">
        <f>'Pax Capital'!N25+'Pax Operate Maint'!N23</f>
        <v>975728.94200120762</v>
      </c>
      <c r="O14" s="14">
        <f>'Pax Capital'!O25+'Pax Operate Maint'!O23</f>
        <v>1008537.1042581855</v>
      </c>
      <c r="P14" s="14">
        <f>'Pax Capital'!P25+'Pax Operate Maint'!P23</f>
        <v>687546.84049575683</v>
      </c>
      <c r="Q14" s="14">
        <f>'Pax Capital'!Q25+'Pax Operate Maint'!Q23</f>
        <v>751092.78266549576</v>
      </c>
      <c r="R14" s="14">
        <f>'Pax Capital'!R25+'Pax Operate Maint'!R23</f>
        <v>701061.4250994391</v>
      </c>
      <c r="S14" s="14">
        <f>'Pax Capital'!S25+'Pax Operate Maint'!S23</f>
        <v>756902.0504871544</v>
      </c>
      <c r="T14" s="14">
        <f>'Pax Capital'!T25+'Pax Operate Maint'!T23</f>
        <v>765002.76675825845</v>
      </c>
      <c r="U14" s="4" t="s">
        <v>42</v>
      </c>
      <c r="V14" s="33">
        <v>9</v>
      </c>
      <c r="W14" s="14">
        <f>'Pax Capital'!W25+'Pax Operate Maint'!W23</f>
        <v>1137461.5369254064</v>
      </c>
      <c r="X14" s="14">
        <f>'Pax Capital'!X25+'Pax Operate Maint'!X23</f>
        <v>1254565.6968616508</v>
      </c>
      <c r="Y14" s="14">
        <f>'Pax Capital'!Y25+'Pax Operate Maint'!Y23</f>
        <v>1572806.5328505829</v>
      </c>
      <c r="Z14" s="14">
        <f>'Pax Capital'!Z25+'Pax Operate Maint'!Z23</f>
        <v>942860.6797921895</v>
      </c>
      <c r="AA14" s="14">
        <f>'Pax Capital'!AA25+'Pax Operate Maint'!AA23</f>
        <v>1359692.018534384</v>
      </c>
      <c r="AB14" s="14">
        <f>'Pax Capital'!AB25+'Pax Operate Maint'!AB23</f>
        <v>1169939.4369490249</v>
      </c>
      <c r="AC14" s="14">
        <f>'Pax Capital'!AC25+'Pax Operate Maint'!AC23</f>
        <v>1851284.6893271962</v>
      </c>
      <c r="AD14" s="14">
        <f>'Pax Capital'!AD25+'Pax Operate Maint'!AD23</f>
        <v>1822970.4486379442</v>
      </c>
    </row>
    <row r="15" spans="1:30" x14ac:dyDescent="0.25">
      <c r="A15" s="4" t="s">
        <v>42</v>
      </c>
      <c r="B15" s="33">
        <v>10</v>
      </c>
      <c r="C15" s="14">
        <f>'Pax Capital'!C26+'Pax Operate Maint'!C24</f>
        <v>1070733.6966013594</v>
      </c>
      <c r="D15" s="14">
        <f>'Pax Capital'!D26+'Pax Operate Maint'!D24</f>
        <v>1164647.3194314293</v>
      </c>
      <c r="E15" s="14">
        <f>'Pax Capital'!E26+'Pax Operate Maint'!E24</f>
        <v>1349171.8185543842</v>
      </c>
      <c r="F15" s="14">
        <f>'Pax Capital'!F26+'Pax Operate Maint'!F24</f>
        <v>849703.76014397317</v>
      </c>
      <c r="G15" s="14">
        <f>'Pax Capital'!G26+'Pax Operate Maint'!G24</f>
        <v>1101892.40059994</v>
      </c>
      <c r="H15" s="14">
        <f>'Pax Capital'!H26+'Pax Operate Maint'!H24</f>
        <v>980500.43102423195</v>
      </c>
      <c r="I15" s="14">
        <f>'Pax Capital'!I26+'Pax Operate Maint'!I24</f>
        <v>1360593.3699071752</v>
      </c>
      <c r="J15" s="14">
        <f>'Pax Capital'!J26+'Pax Operate Maint'!J24</f>
        <v>1352486.6076981013</v>
      </c>
      <c r="K15" s="4" t="s">
        <v>42</v>
      </c>
      <c r="L15" s="33">
        <v>10</v>
      </c>
      <c r="M15" s="14">
        <f>'Pax Capital'!M26+'Pax Operate Maint'!M24</f>
        <v>959005.85627731215</v>
      </c>
      <c r="N15" s="14">
        <f>'Pax Capital'!N26+'Pax Operate Maint'!N24</f>
        <v>1019728.9420012076</v>
      </c>
      <c r="O15" s="14">
        <f>'Pax Capital'!O26+'Pax Operate Maint'!O24</f>
        <v>1056537.1042581855</v>
      </c>
      <c r="P15" s="14">
        <f>'Pax Capital'!P26+'Pax Operate Maint'!P24</f>
        <v>717546.84049575683</v>
      </c>
      <c r="Q15" s="14">
        <f>'Pax Capital'!Q26+'Pax Operate Maint'!Q24</f>
        <v>788092.78266549576</v>
      </c>
      <c r="R15" s="14">
        <f>'Pax Capital'!R26+'Pax Operate Maint'!R24</f>
        <v>734061.4250994391</v>
      </c>
      <c r="S15" s="14">
        <f>'Pax Capital'!S26+'Pax Operate Maint'!S24</f>
        <v>798902.0504871544</v>
      </c>
      <c r="T15" s="14">
        <f>'Pax Capital'!T26+'Pax Operate Maint'!T24</f>
        <v>807002.76675825845</v>
      </c>
      <c r="U15" s="4" t="s">
        <v>42</v>
      </c>
      <c r="V15" s="33">
        <v>10</v>
      </c>
      <c r="W15" s="14">
        <f>'Pax Capital'!W26+'Pax Operate Maint'!W24</f>
        <v>1183461.5369254064</v>
      </c>
      <c r="X15" s="14">
        <f>'Pax Capital'!X26+'Pax Operate Maint'!X24</f>
        <v>1308565.6968616508</v>
      </c>
      <c r="Y15" s="14">
        <f>'Pax Capital'!Y26+'Pax Operate Maint'!Y24</f>
        <v>1641806.5328505829</v>
      </c>
      <c r="Z15" s="14">
        <f>'Pax Capital'!Z26+'Pax Operate Maint'!Z24</f>
        <v>981860.6797921895</v>
      </c>
      <c r="AA15" s="14">
        <f>'Pax Capital'!AA26+'Pax Operate Maint'!AA24</f>
        <v>1416692.018534384</v>
      </c>
      <c r="AB15" s="14">
        <f>'Pax Capital'!AB26+'Pax Operate Maint'!AB24</f>
        <v>1226939.4369490249</v>
      </c>
      <c r="AC15" s="14">
        <f>'Pax Capital'!AC26+'Pax Operate Maint'!AC24</f>
        <v>1923284.6893271962</v>
      </c>
      <c r="AD15" s="14">
        <f>'Pax Capital'!AD26+'Pax Operate Maint'!AD24</f>
        <v>1896970.4486379442</v>
      </c>
    </row>
    <row r="16" spans="1:30" x14ac:dyDescent="0.25">
      <c r="A16" s="4" t="s">
        <v>42</v>
      </c>
      <c r="B16" s="33">
        <v>11</v>
      </c>
      <c r="C16" s="14">
        <f>'Pax Capital'!C27+'Pax Operate Maint'!C25</f>
        <v>1117733.6966013594</v>
      </c>
      <c r="D16" s="14">
        <f>'Pax Capital'!D27+'Pax Operate Maint'!D25</f>
        <v>1216647.3194314293</v>
      </c>
      <c r="E16" s="14">
        <f>'Pax Capital'!E27+'Pax Operate Maint'!E25</f>
        <v>1412171.8185543842</v>
      </c>
      <c r="F16" s="14">
        <f>'Pax Capital'!F27+'Pax Operate Maint'!F25</f>
        <v>886703.76014397317</v>
      </c>
      <c r="G16" s="14">
        <f>'Pax Capital'!G27+'Pax Operate Maint'!G25</f>
        <v>1152892.40059994</v>
      </c>
      <c r="H16" s="14">
        <f>'Pax Capital'!H27+'Pax Operate Maint'!H25</f>
        <v>1029500.4310242319</v>
      </c>
      <c r="I16" s="14">
        <f>'Pax Capital'!I27+'Pax Operate Maint'!I25</f>
        <v>1421593.3699071752</v>
      </c>
      <c r="J16" s="14">
        <f>'Pax Capital'!J27+'Pax Operate Maint'!J25</f>
        <v>1414486.6076981013</v>
      </c>
      <c r="K16" s="4" t="s">
        <v>42</v>
      </c>
      <c r="L16" s="33">
        <v>11</v>
      </c>
      <c r="M16" s="14">
        <f>'Pax Capital'!M27+'Pax Operate Maint'!M25</f>
        <v>1003005.8562773122</v>
      </c>
      <c r="N16" s="14">
        <f>'Pax Capital'!N27+'Pax Operate Maint'!N25</f>
        <v>1067728.9420012075</v>
      </c>
      <c r="O16" s="14">
        <f>'Pax Capital'!O27+'Pax Operate Maint'!O25</f>
        <v>1108537.1042581855</v>
      </c>
      <c r="P16" s="14">
        <f>'Pax Capital'!P27+'Pax Operate Maint'!P25</f>
        <v>750546.84049575683</v>
      </c>
      <c r="Q16" s="14">
        <f>'Pax Capital'!Q27+'Pax Operate Maint'!Q25</f>
        <v>828092.78266549576</v>
      </c>
      <c r="R16" s="14">
        <f>'Pax Capital'!R27+'Pax Operate Maint'!R25</f>
        <v>770061.4250994391</v>
      </c>
      <c r="S16" s="14">
        <f>'Pax Capital'!S27+'Pax Operate Maint'!S25</f>
        <v>843902.0504871544</v>
      </c>
      <c r="T16" s="14">
        <f>'Pax Capital'!T27+'Pax Operate Maint'!T25</f>
        <v>853002.76675825845</v>
      </c>
      <c r="U16" s="4" t="s">
        <v>42</v>
      </c>
      <c r="V16" s="33">
        <v>11</v>
      </c>
      <c r="W16" s="14">
        <f>'Pax Capital'!W27+'Pax Operate Maint'!W25</f>
        <v>1232461.5369254064</v>
      </c>
      <c r="X16" s="14">
        <f>'Pax Capital'!X27+'Pax Operate Maint'!X25</f>
        <v>1366565.6968616508</v>
      </c>
      <c r="Y16" s="14">
        <f>'Pax Capital'!Y27+'Pax Operate Maint'!Y25</f>
        <v>1715806.5328505829</v>
      </c>
      <c r="Z16" s="14">
        <f>'Pax Capital'!Z27+'Pax Operate Maint'!Z25</f>
        <v>1023860.6797921895</v>
      </c>
      <c r="AA16" s="14">
        <f>'Pax Capital'!AA27+'Pax Operate Maint'!AA25</f>
        <v>1477692.018534384</v>
      </c>
      <c r="AB16" s="14">
        <f>'Pax Capital'!AB27+'Pax Operate Maint'!AB25</f>
        <v>1288939.4369490249</v>
      </c>
      <c r="AC16" s="14">
        <f>'Pax Capital'!AC27+'Pax Operate Maint'!AC25</f>
        <v>2000284.6893271962</v>
      </c>
      <c r="AD16" s="14">
        <f>'Pax Capital'!AD27+'Pax Operate Maint'!AD25</f>
        <v>1976970.4486379442</v>
      </c>
    </row>
    <row r="17" spans="1:30" x14ac:dyDescent="0.25">
      <c r="A17" s="4" t="s">
        <v>42</v>
      </c>
      <c r="B17" s="33">
        <v>12</v>
      </c>
      <c r="C17" s="14">
        <f>'Pax Capital'!C28+'Pax Operate Maint'!C26</f>
        <v>1167733.6966013594</v>
      </c>
      <c r="D17" s="14">
        <f>'Pax Capital'!D28+'Pax Operate Maint'!D26</f>
        <v>1273647.3194314293</v>
      </c>
      <c r="E17" s="14">
        <f>'Pax Capital'!E28+'Pax Operate Maint'!E26</f>
        <v>1480171.8185543842</v>
      </c>
      <c r="F17" s="14">
        <f>'Pax Capital'!F28+'Pax Operate Maint'!F26</f>
        <v>927703.76014397317</v>
      </c>
      <c r="G17" s="14">
        <f>'Pax Capital'!G28+'Pax Operate Maint'!G26</f>
        <v>1207892.40059994</v>
      </c>
      <c r="H17" s="14">
        <f>'Pax Capital'!H28+'Pax Operate Maint'!H26</f>
        <v>1082500.4310242319</v>
      </c>
      <c r="I17" s="14">
        <f>'Pax Capital'!I28+'Pax Operate Maint'!I26</f>
        <v>1487593.3699071752</v>
      </c>
      <c r="J17" s="14">
        <f>'Pax Capital'!J28+'Pax Operate Maint'!J26</f>
        <v>1482486.6076981013</v>
      </c>
      <c r="K17" s="4" t="s">
        <v>42</v>
      </c>
      <c r="L17" s="33">
        <v>12</v>
      </c>
      <c r="M17" s="14">
        <f>'Pax Capital'!M28+'Pax Operate Maint'!M26</f>
        <v>1051005.8562773122</v>
      </c>
      <c r="N17" s="14">
        <f>'Pax Capital'!N28+'Pax Operate Maint'!N26</f>
        <v>1118728.9420012075</v>
      </c>
      <c r="O17" s="14">
        <f>'Pax Capital'!O28+'Pax Operate Maint'!O26</f>
        <v>1164537.1042581855</v>
      </c>
      <c r="P17" s="14">
        <f>'Pax Capital'!P28+'Pax Operate Maint'!P26</f>
        <v>785546.84049575683</v>
      </c>
      <c r="Q17" s="14">
        <f>'Pax Capital'!Q28+'Pax Operate Maint'!Q26</f>
        <v>871092.78266549576</v>
      </c>
      <c r="R17" s="14">
        <f>'Pax Capital'!R28+'Pax Operate Maint'!R26</f>
        <v>808061.4250994391</v>
      </c>
      <c r="S17" s="14">
        <f>'Pax Capital'!S28+'Pax Operate Maint'!S26</f>
        <v>892902.0504871544</v>
      </c>
      <c r="T17" s="14">
        <f>'Pax Capital'!T28+'Pax Operate Maint'!T26</f>
        <v>903002.76675825845</v>
      </c>
      <c r="U17" s="4" t="s">
        <v>42</v>
      </c>
      <c r="V17" s="33">
        <v>12</v>
      </c>
      <c r="W17" s="14">
        <f>'Pax Capital'!W28+'Pax Operate Maint'!W26</f>
        <v>1285461.5369254064</v>
      </c>
      <c r="X17" s="14">
        <f>'Pax Capital'!X28+'Pax Operate Maint'!X26</f>
        <v>1429565.6968616508</v>
      </c>
      <c r="Y17" s="14">
        <f>'Pax Capital'!Y28+'Pax Operate Maint'!Y26</f>
        <v>1794806.5328505829</v>
      </c>
      <c r="Z17" s="14">
        <f>'Pax Capital'!Z28+'Pax Operate Maint'!Z26</f>
        <v>1068860.6797921895</v>
      </c>
      <c r="AA17" s="14">
        <f>'Pax Capital'!AA28+'Pax Operate Maint'!AA26</f>
        <v>1543692.018534384</v>
      </c>
      <c r="AB17" s="14">
        <f>'Pax Capital'!AB28+'Pax Operate Maint'!AB26</f>
        <v>1355939.4369490249</v>
      </c>
      <c r="AC17" s="14">
        <f>'Pax Capital'!AC28+'Pax Operate Maint'!AC26</f>
        <v>2082284.6893271962</v>
      </c>
      <c r="AD17" s="14">
        <f>'Pax Capital'!AD28+'Pax Operate Maint'!AD26</f>
        <v>2062970.4486379442</v>
      </c>
    </row>
    <row r="18" spans="1:30" x14ac:dyDescent="0.25">
      <c r="A18" s="4" t="s">
        <v>42</v>
      </c>
      <c r="B18" s="33">
        <v>13</v>
      </c>
      <c r="C18" s="14">
        <f>'Pax Capital'!C29+'Pax Operate Maint'!C27</f>
        <v>1221733.6966013594</v>
      </c>
      <c r="D18" s="14">
        <f>'Pax Capital'!D29+'Pax Operate Maint'!D27</f>
        <v>1334647.3194314293</v>
      </c>
      <c r="E18" s="14">
        <f>'Pax Capital'!E29+'Pax Operate Maint'!E27</f>
        <v>1553171.8185543842</v>
      </c>
      <c r="F18" s="14">
        <f>'Pax Capital'!F29+'Pax Operate Maint'!F27</f>
        <v>970703.76014397317</v>
      </c>
      <c r="G18" s="14">
        <f>'Pax Capital'!G29+'Pax Operate Maint'!G27</f>
        <v>1266892.40059994</v>
      </c>
      <c r="H18" s="14">
        <f>'Pax Capital'!H29+'Pax Operate Maint'!H27</f>
        <v>1139500.4310242319</v>
      </c>
      <c r="I18" s="14">
        <f>'Pax Capital'!I29+'Pax Operate Maint'!I27</f>
        <v>1558593.3699071752</v>
      </c>
      <c r="J18" s="14">
        <f>'Pax Capital'!J29+'Pax Operate Maint'!J27</f>
        <v>1556486.6076981013</v>
      </c>
      <c r="K18" s="4" t="s">
        <v>42</v>
      </c>
      <c r="L18" s="33">
        <v>13</v>
      </c>
      <c r="M18" s="14">
        <f>'Pax Capital'!M29+'Pax Operate Maint'!M27</f>
        <v>1102005.8562773122</v>
      </c>
      <c r="N18" s="14">
        <f>'Pax Capital'!N29+'Pax Operate Maint'!N27</f>
        <v>1173728.9420012075</v>
      </c>
      <c r="O18" s="14">
        <f>'Pax Capital'!O29+'Pax Operate Maint'!O27</f>
        <v>1225537.1042581855</v>
      </c>
      <c r="P18" s="14">
        <f>'Pax Capital'!P29+'Pax Operate Maint'!P27</f>
        <v>823546.84049575683</v>
      </c>
      <c r="Q18" s="14">
        <f>'Pax Capital'!Q29+'Pax Operate Maint'!Q27</f>
        <v>918092.78266549576</v>
      </c>
      <c r="R18" s="14">
        <f>'Pax Capital'!R29+'Pax Operate Maint'!R27</f>
        <v>850061.4250994391</v>
      </c>
      <c r="S18" s="14">
        <f>'Pax Capital'!S29+'Pax Operate Maint'!S27</f>
        <v>945902.0504871544</v>
      </c>
      <c r="T18" s="14">
        <f>'Pax Capital'!T29+'Pax Operate Maint'!T27</f>
        <v>957002.76675825845</v>
      </c>
      <c r="U18" s="4" t="s">
        <v>42</v>
      </c>
      <c r="V18" s="33">
        <v>13</v>
      </c>
      <c r="W18" s="14">
        <f>'Pax Capital'!W29+'Pax Operate Maint'!W27</f>
        <v>1341461.5369254064</v>
      </c>
      <c r="X18" s="14">
        <f>'Pax Capital'!X29+'Pax Operate Maint'!X27</f>
        <v>1496565.6968616508</v>
      </c>
      <c r="Y18" s="14">
        <f>'Pax Capital'!Y29+'Pax Operate Maint'!Y27</f>
        <v>1879806.5328505829</v>
      </c>
      <c r="Z18" s="14">
        <f>'Pax Capital'!Z29+'Pax Operate Maint'!Z27</f>
        <v>1117860.6797921895</v>
      </c>
      <c r="AA18" s="14">
        <f>'Pax Capital'!AA29+'Pax Operate Maint'!AA27</f>
        <v>1614692.018534384</v>
      </c>
      <c r="AB18" s="14">
        <f>'Pax Capital'!AB29+'Pax Operate Maint'!AB27</f>
        <v>1428939.4369490249</v>
      </c>
      <c r="AC18" s="14">
        <f>'Pax Capital'!AC29+'Pax Operate Maint'!AC27</f>
        <v>2171284.6893271962</v>
      </c>
      <c r="AD18" s="14">
        <f>'Pax Capital'!AD29+'Pax Operate Maint'!AD27</f>
        <v>2155970.4486379442</v>
      </c>
    </row>
    <row r="19" spans="1:30" x14ac:dyDescent="0.25">
      <c r="A19" s="4" t="s">
        <v>42</v>
      </c>
      <c r="B19" s="33">
        <v>14</v>
      </c>
      <c r="C19" s="14">
        <f>'Pax Capital'!C30+'Pax Operate Maint'!C28</f>
        <v>1279733.6966013594</v>
      </c>
      <c r="D19" s="14">
        <f>'Pax Capital'!D30+'Pax Operate Maint'!D28</f>
        <v>1400647.3194314293</v>
      </c>
      <c r="E19" s="14">
        <f>'Pax Capital'!E30+'Pax Operate Maint'!E28</f>
        <v>1631171.8185543842</v>
      </c>
      <c r="F19" s="14">
        <f>'Pax Capital'!F30+'Pax Operate Maint'!F28</f>
        <v>1017703.7601439732</v>
      </c>
      <c r="G19" s="14">
        <f>'Pax Capital'!G30+'Pax Operate Maint'!G28</f>
        <v>1329892.40059994</v>
      </c>
      <c r="H19" s="14">
        <f>'Pax Capital'!H30+'Pax Operate Maint'!H28</f>
        <v>1200500.4310242319</v>
      </c>
      <c r="I19" s="14">
        <f>'Pax Capital'!I30+'Pax Operate Maint'!I28</f>
        <v>1635593.3699071752</v>
      </c>
      <c r="J19" s="14">
        <f>'Pax Capital'!J30+'Pax Operate Maint'!J28</f>
        <v>1636486.6076981013</v>
      </c>
      <c r="K19" s="4" t="s">
        <v>42</v>
      </c>
      <c r="L19" s="33">
        <v>14</v>
      </c>
      <c r="M19" s="14">
        <f>'Pax Capital'!M30+'Pax Operate Maint'!M28</f>
        <v>1157005.8562773122</v>
      </c>
      <c r="N19" s="14">
        <f>'Pax Capital'!N30+'Pax Operate Maint'!N28</f>
        <v>1232728.9420012075</v>
      </c>
      <c r="O19" s="14">
        <f>'Pax Capital'!O30+'Pax Operate Maint'!O28</f>
        <v>1290537.1042581855</v>
      </c>
      <c r="P19" s="14">
        <f>'Pax Capital'!P30+'Pax Operate Maint'!P28</f>
        <v>864546.84049575683</v>
      </c>
      <c r="Q19" s="14">
        <f>'Pax Capital'!Q30+'Pax Operate Maint'!Q28</f>
        <v>969092.78266549576</v>
      </c>
      <c r="R19" s="14">
        <f>'Pax Capital'!R30+'Pax Operate Maint'!R28</f>
        <v>894061.4250994391</v>
      </c>
      <c r="S19" s="14">
        <f>'Pax Capital'!S30+'Pax Operate Maint'!S28</f>
        <v>1002902.0504871544</v>
      </c>
      <c r="T19" s="14">
        <f>'Pax Capital'!T30+'Pax Operate Maint'!T28</f>
        <v>1016002.7667582585</v>
      </c>
      <c r="U19" s="4" t="s">
        <v>42</v>
      </c>
      <c r="V19" s="33">
        <v>14</v>
      </c>
      <c r="W19" s="14">
        <f>'Pax Capital'!W30+'Pax Operate Maint'!W28</f>
        <v>1401461.5369254064</v>
      </c>
      <c r="X19" s="14">
        <f>'Pax Capital'!X30+'Pax Operate Maint'!X28</f>
        <v>1568565.6968616508</v>
      </c>
      <c r="Y19" s="14">
        <f>'Pax Capital'!Y30+'Pax Operate Maint'!Y28</f>
        <v>1971806.5328505829</v>
      </c>
      <c r="Z19" s="14">
        <f>'Pax Capital'!Z30+'Pax Operate Maint'!Z28</f>
        <v>1169860.6797921895</v>
      </c>
      <c r="AA19" s="14">
        <f>'Pax Capital'!AA30+'Pax Operate Maint'!AA28</f>
        <v>1691692.018534384</v>
      </c>
      <c r="AB19" s="14">
        <f>'Pax Capital'!AB30+'Pax Operate Maint'!AB28</f>
        <v>1506939.4369490249</v>
      </c>
      <c r="AC19" s="14">
        <f>'Pax Capital'!AC30+'Pax Operate Maint'!AC28</f>
        <v>2267284.6893271962</v>
      </c>
      <c r="AD19" s="14">
        <f>'Pax Capital'!AD30+'Pax Operate Maint'!AD28</f>
        <v>2256970.4486379442</v>
      </c>
    </row>
    <row r="20" spans="1:30" x14ac:dyDescent="0.25">
      <c r="A20" s="4" t="s">
        <v>42</v>
      </c>
      <c r="B20" s="33">
        <v>15</v>
      </c>
      <c r="C20" s="14">
        <f>'Pax Capital'!C31+'Pax Operate Maint'!C29</f>
        <v>1341733.6966013594</v>
      </c>
      <c r="D20" s="14">
        <f>'Pax Capital'!D31+'Pax Operate Maint'!D29</f>
        <v>1470647.3194314293</v>
      </c>
      <c r="E20" s="14">
        <f>'Pax Capital'!E31+'Pax Operate Maint'!E29</f>
        <v>1716171.8185543842</v>
      </c>
      <c r="F20" s="14">
        <f>'Pax Capital'!F31+'Pax Operate Maint'!F29</f>
        <v>1067703.7601439732</v>
      </c>
      <c r="G20" s="14">
        <f>'Pax Capital'!G31+'Pax Operate Maint'!G29</f>
        <v>1398892.40059994</v>
      </c>
      <c r="H20" s="14">
        <f>'Pax Capital'!H31+'Pax Operate Maint'!H29</f>
        <v>1267500.4310242319</v>
      </c>
      <c r="I20" s="14">
        <f>'Pax Capital'!I31+'Pax Operate Maint'!I29</f>
        <v>1718593.3699071752</v>
      </c>
      <c r="J20" s="14">
        <f>'Pax Capital'!J31+'Pax Operate Maint'!J29</f>
        <v>1723486.6076981013</v>
      </c>
      <c r="K20" s="4" t="s">
        <v>42</v>
      </c>
      <c r="L20" s="33">
        <v>15</v>
      </c>
      <c r="M20" s="14">
        <f>'Pax Capital'!M31+'Pax Operate Maint'!M29</f>
        <v>1217005.8562773122</v>
      </c>
      <c r="N20" s="14">
        <f>'Pax Capital'!N31+'Pax Operate Maint'!N29</f>
        <v>1296728.9420012075</v>
      </c>
      <c r="O20" s="14">
        <f>'Pax Capital'!O31+'Pax Operate Maint'!O29</f>
        <v>1361537.1042581855</v>
      </c>
      <c r="P20" s="14">
        <f>'Pax Capital'!P31+'Pax Operate Maint'!P29</f>
        <v>909546.84049575683</v>
      </c>
      <c r="Q20" s="14">
        <f>'Pax Capital'!Q31+'Pax Operate Maint'!Q29</f>
        <v>1024092.7826654958</v>
      </c>
      <c r="R20" s="14">
        <f>'Pax Capital'!R31+'Pax Operate Maint'!R29</f>
        <v>943061.4250994391</v>
      </c>
      <c r="S20" s="14">
        <f>'Pax Capital'!S31+'Pax Operate Maint'!S29</f>
        <v>1065902.0504871544</v>
      </c>
      <c r="T20" s="14">
        <f>'Pax Capital'!T31+'Pax Operate Maint'!T29</f>
        <v>1080002.7667582585</v>
      </c>
      <c r="U20" s="4" t="s">
        <v>42</v>
      </c>
      <c r="V20" s="33">
        <v>15</v>
      </c>
      <c r="W20" s="14">
        <f>'Pax Capital'!W31+'Pax Operate Maint'!W29</f>
        <v>1466461.5369254064</v>
      </c>
      <c r="X20" s="14">
        <f>'Pax Capital'!X31+'Pax Operate Maint'!X29</f>
        <v>1645565.6968616508</v>
      </c>
      <c r="Y20" s="14">
        <f>'Pax Capital'!Y31+'Pax Operate Maint'!Y29</f>
        <v>2069806.5328505829</v>
      </c>
      <c r="Z20" s="14">
        <f>'Pax Capital'!Z31+'Pax Operate Maint'!Z29</f>
        <v>1225860.6797921895</v>
      </c>
      <c r="AA20" s="14">
        <f>'Pax Capital'!AA31+'Pax Operate Maint'!AA29</f>
        <v>1773692.018534384</v>
      </c>
      <c r="AB20" s="14">
        <f>'Pax Capital'!AB31+'Pax Operate Maint'!AB29</f>
        <v>1591939.4369490249</v>
      </c>
      <c r="AC20" s="14">
        <f>'Pax Capital'!AC31+'Pax Operate Maint'!AC29</f>
        <v>2371284.6893271962</v>
      </c>
      <c r="AD20" s="14">
        <f>'Pax Capital'!AD31+'Pax Operate Maint'!AD29</f>
        <v>2366970.4486379442</v>
      </c>
    </row>
    <row r="21" spans="1:30" x14ac:dyDescent="0.25">
      <c r="A21" s="4" t="s">
        <v>42</v>
      </c>
      <c r="B21" s="33">
        <v>16</v>
      </c>
      <c r="C21" s="14">
        <f>'Pax Capital'!C32+'Pax Operate Maint'!C30</f>
        <v>1408733.6966013594</v>
      </c>
      <c r="D21" s="14">
        <f>'Pax Capital'!D32+'Pax Operate Maint'!D30</f>
        <v>1547647.3194314293</v>
      </c>
      <c r="E21" s="14">
        <f>'Pax Capital'!E32+'Pax Operate Maint'!E30</f>
        <v>1807171.8185543842</v>
      </c>
      <c r="F21" s="14">
        <f>'Pax Capital'!F32+'Pax Operate Maint'!F30</f>
        <v>1121703.7601439732</v>
      </c>
      <c r="G21" s="14">
        <f>'Pax Capital'!G32+'Pax Operate Maint'!G30</f>
        <v>1473892.40059994</v>
      </c>
      <c r="H21" s="14">
        <f>'Pax Capital'!H32+'Pax Operate Maint'!H30</f>
        <v>1340500.4310242319</v>
      </c>
      <c r="I21" s="14">
        <f>'Pax Capital'!I32+'Pax Operate Maint'!I30</f>
        <v>1808593.3699071752</v>
      </c>
      <c r="J21" s="14">
        <f>'Pax Capital'!J32+'Pax Operate Maint'!J30</f>
        <v>1817486.6076981013</v>
      </c>
      <c r="K21" s="4" t="s">
        <v>42</v>
      </c>
      <c r="L21" s="33">
        <v>16</v>
      </c>
      <c r="M21" s="14">
        <f>'Pax Capital'!M32+'Pax Operate Maint'!M30</f>
        <v>1281005.8562773122</v>
      </c>
      <c r="N21" s="14">
        <f>'Pax Capital'!N32+'Pax Operate Maint'!N30</f>
        <v>1365728.9420012075</v>
      </c>
      <c r="O21" s="14">
        <f>'Pax Capital'!O32+'Pax Operate Maint'!O30</f>
        <v>1437537.1042581855</v>
      </c>
      <c r="P21" s="14">
        <f>'Pax Capital'!P32+'Pax Operate Maint'!P30</f>
        <v>957546.84049575683</v>
      </c>
      <c r="Q21" s="14">
        <f>'Pax Capital'!Q32+'Pax Operate Maint'!Q30</f>
        <v>1084092.7826654958</v>
      </c>
      <c r="R21" s="14">
        <f>'Pax Capital'!R32+'Pax Operate Maint'!R30</f>
        <v>996061.4250994391</v>
      </c>
      <c r="S21" s="14">
        <f>'Pax Capital'!S32+'Pax Operate Maint'!S30</f>
        <v>1134902.0504871544</v>
      </c>
      <c r="T21" s="14">
        <f>'Pax Capital'!T32+'Pax Operate Maint'!T30</f>
        <v>1149002.7667582585</v>
      </c>
      <c r="U21" s="4" t="s">
        <v>42</v>
      </c>
      <c r="V21" s="33">
        <v>16</v>
      </c>
      <c r="W21" s="14">
        <f>'Pax Capital'!W32+'Pax Operate Maint'!W30</f>
        <v>1535461.5369254064</v>
      </c>
      <c r="X21" s="14">
        <f>'Pax Capital'!X32+'Pax Operate Maint'!X30</f>
        <v>1729565.6968616508</v>
      </c>
      <c r="Y21" s="14">
        <f>'Pax Capital'!Y32+'Pax Operate Maint'!Y30</f>
        <v>2176806.5328505831</v>
      </c>
      <c r="Z21" s="14">
        <f>'Pax Capital'!Z32+'Pax Operate Maint'!Z30</f>
        <v>1286860.6797921895</v>
      </c>
      <c r="AA21" s="14">
        <f>'Pax Capital'!AA32+'Pax Operate Maint'!AA30</f>
        <v>1863692.018534384</v>
      </c>
      <c r="AB21" s="14">
        <f>'Pax Capital'!AB32+'Pax Operate Maint'!AB30</f>
        <v>1684939.4369490249</v>
      </c>
      <c r="AC21" s="14">
        <f>'Pax Capital'!AC32+'Pax Operate Maint'!AC30</f>
        <v>2483284.6893271962</v>
      </c>
      <c r="AD21" s="14">
        <f>'Pax Capital'!AD32+'Pax Operate Maint'!AD30</f>
        <v>2484970.4486379442</v>
      </c>
    </row>
    <row r="22" spans="1:30" x14ac:dyDescent="0.25">
      <c r="A22" s="4" t="s">
        <v>42</v>
      </c>
      <c r="B22" s="33">
        <v>17</v>
      </c>
      <c r="C22" s="14">
        <f>'Pax Capital'!C33+'Pax Operate Maint'!C31</f>
        <v>1480733.6966013594</v>
      </c>
      <c r="D22" s="14">
        <f>'Pax Capital'!D33+'Pax Operate Maint'!D31</f>
        <v>1629647.3194314293</v>
      </c>
      <c r="E22" s="14">
        <f>'Pax Capital'!E33+'Pax Operate Maint'!E31</f>
        <v>1906171.8185543842</v>
      </c>
      <c r="F22" s="14">
        <f>'Pax Capital'!F33+'Pax Operate Maint'!F31</f>
        <v>1180703.7601439732</v>
      </c>
      <c r="G22" s="14">
        <f>'Pax Capital'!G33+'Pax Operate Maint'!G31</f>
        <v>1553892.40059994</v>
      </c>
      <c r="H22" s="14">
        <f>'Pax Capital'!H33+'Pax Operate Maint'!H31</f>
        <v>1418500.4310242319</v>
      </c>
      <c r="I22" s="14">
        <f>'Pax Capital'!I33+'Pax Operate Maint'!I31</f>
        <v>1906593.3699071752</v>
      </c>
      <c r="J22" s="14">
        <f>'Pax Capital'!J33+'Pax Operate Maint'!J31</f>
        <v>1919486.6076981013</v>
      </c>
      <c r="K22" s="4" t="s">
        <v>42</v>
      </c>
      <c r="L22" s="33">
        <v>17</v>
      </c>
      <c r="M22" s="14">
        <f>'Pax Capital'!M33+'Pax Operate Maint'!M31</f>
        <v>1351005.8562773122</v>
      </c>
      <c r="N22" s="14">
        <f>'Pax Capital'!N33+'Pax Operate Maint'!N31</f>
        <v>1439728.9420012075</v>
      </c>
      <c r="O22" s="14">
        <f>'Pax Capital'!O33+'Pax Operate Maint'!O31</f>
        <v>1520537.1042581855</v>
      </c>
      <c r="P22" s="14">
        <f>'Pax Capital'!P33+'Pax Operate Maint'!P31</f>
        <v>1009546.8404957568</v>
      </c>
      <c r="Q22" s="14">
        <f>'Pax Capital'!Q33+'Pax Operate Maint'!Q31</f>
        <v>1149092.7826654958</v>
      </c>
      <c r="R22" s="14">
        <f>'Pax Capital'!R33+'Pax Operate Maint'!R31</f>
        <v>1053061.425099439</v>
      </c>
      <c r="S22" s="14">
        <f>'Pax Capital'!S33+'Pax Operate Maint'!S31</f>
        <v>1208902.0504871544</v>
      </c>
      <c r="T22" s="14">
        <f>'Pax Capital'!T33+'Pax Operate Maint'!T31</f>
        <v>1225002.7667582585</v>
      </c>
      <c r="U22" s="4" t="s">
        <v>42</v>
      </c>
      <c r="V22" s="33">
        <v>17</v>
      </c>
      <c r="W22" s="14">
        <f>'Pax Capital'!W33+'Pax Operate Maint'!W31</f>
        <v>1610461.5369254064</v>
      </c>
      <c r="X22" s="14">
        <f>'Pax Capital'!X33+'Pax Operate Maint'!X31</f>
        <v>1819565.6968616508</v>
      </c>
      <c r="Y22" s="14">
        <f>'Pax Capital'!Y33+'Pax Operate Maint'!Y31</f>
        <v>2290806.5328505831</v>
      </c>
      <c r="Z22" s="14">
        <f>'Pax Capital'!Z33+'Pax Operate Maint'!Z31</f>
        <v>1351860.6797921895</v>
      </c>
      <c r="AA22" s="14">
        <f>'Pax Capital'!AA33+'Pax Operate Maint'!AA31</f>
        <v>1959692.018534384</v>
      </c>
      <c r="AB22" s="14">
        <f>'Pax Capital'!AB33+'Pax Operate Maint'!AB31</f>
        <v>1784939.4369490249</v>
      </c>
      <c r="AC22" s="14">
        <f>'Pax Capital'!AC33+'Pax Operate Maint'!AC31</f>
        <v>2604284.6893271962</v>
      </c>
      <c r="AD22" s="14">
        <f>'Pax Capital'!AD33+'Pax Operate Maint'!AD31</f>
        <v>2613970.4486379442</v>
      </c>
    </row>
    <row r="23" spans="1:30" x14ac:dyDescent="0.25">
      <c r="A23" s="4" t="s">
        <v>42</v>
      </c>
      <c r="B23" s="33">
        <v>18</v>
      </c>
      <c r="C23" s="14">
        <f>'Pax Capital'!C34+'Pax Operate Maint'!C32</f>
        <v>1557733.6966013594</v>
      </c>
      <c r="D23" s="14">
        <f>'Pax Capital'!D34+'Pax Operate Maint'!D32</f>
        <v>1718647.3194314293</v>
      </c>
      <c r="E23" s="14">
        <f>'Pax Capital'!E34+'Pax Operate Maint'!E32</f>
        <v>2013171.8185543842</v>
      </c>
      <c r="F23" s="14">
        <f>'Pax Capital'!F34+'Pax Operate Maint'!F32</f>
        <v>1243703.7601439732</v>
      </c>
      <c r="G23" s="14">
        <f>'Pax Capital'!G34+'Pax Operate Maint'!G32</f>
        <v>1641892.40059994</v>
      </c>
      <c r="H23" s="14">
        <f>'Pax Capital'!H34+'Pax Operate Maint'!H32</f>
        <v>1504500.4310242319</v>
      </c>
      <c r="I23" s="14">
        <f>'Pax Capital'!I34+'Pax Operate Maint'!I32</f>
        <v>2012593.3699071752</v>
      </c>
      <c r="J23" s="14">
        <f>'Pax Capital'!J34+'Pax Operate Maint'!J32</f>
        <v>2030486.6076981013</v>
      </c>
      <c r="K23" s="4" t="s">
        <v>42</v>
      </c>
      <c r="L23" s="33">
        <v>18</v>
      </c>
      <c r="M23" s="14">
        <f>'Pax Capital'!M34+'Pax Operate Maint'!M32</f>
        <v>1426005.8562773122</v>
      </c>
      <c r="N23" s="14">
        <f>'Pax Capital'!N34+'Pax Operate Maint'!N32</f>
        <v>1520728.9420012075</v>
      </c>
      <c r="O23" s="14">
        <f>'Pax Capital'!O34+'Pax Operate Maint'!O32</f>
        <v>1610537.1042581855</v>
      </c>
      <c r="P23" s="14">
        <f>'Pax Capital'!P34+'Pax Operate Maint'!P32</f>
        <v>1065546.8404957568</v>
      </c>
      <c r="Q23" s="14">
        <f>'Pax Capital'!Q34+'Pax Operate Maint'!Q32</f>
        <v>1219092.7826654958</v>
      </c>
      <c r="R23" s="14">
        <f>'Pax Capital'!R34+'Pax Operate Maint'!R32</f>
        <v>1115061.425099439</v>
      </c>
      <c r="S23" s="14">
        <f>'Pax Capital'!S34+'Pax Operate Maint'!S32</f>
        <v>1289902.0504871544</v>
      </c>
      <c r="T23" s="14">
        <f>'Pax Capital'!T34+'Pax Operate Maint'!T32</f>
        <v>1308002.7667582585</v>
      </c>
      <c r="U23" s="4" t="s">
        <v>42</v>
      </c>
      <c r="V23" s="33">
        <v>18</v>
      </c>
      <c r="W23" s="14">
        <f>'Pax Capital'!W34+'Pax Operate Maint'!W32</f>
        <v>1690461.5369254064</v>
      </c>
      <c r="X23" s="14">
        <f>'Pax Capital'!X34+'Pax Operate Maint'!X32</f>
        <v>1916565.6968616508</v>
      </c>
      <c r="Y23" s="14">
        <f>'Pax Capital'!Y34+'Pax Operate Maint'!Y32</f>
        <v>2414806.5328505831</v>
      </c>
      <c r="Z23" s="14">
        <f>'Pax Capital'!Z34+'Pax Operate Maint'!Z32</f>
        <v>1422860.6797921895</v>
      </c>
      <c r="AA23" s="14">
        <f>'Pax Capital'!AA34+'Pax Operate Maint'!AA32</f>
        <v>2063692.018534384</v>
      </c>
      <c r="AB23" s="14">
        <f>'Pax Capital'!AB34+'Pax Operate Maint'!AB32</f>
        <v>1893939.4369490249</v>
      </c>
      <c r="AC23" s="14">
        <f>'Pax Capital'!AC34+'Pax Operate Maint'!AC32</f>
        <v>2735284.6893271962</v>
      </c>
      <c r="AD23" s="14">
        <f>'Pax Capital'!AD34+'Pax Operate Maint'!AD32</f>
        <v>2753970.4486379442</v>
      </c>
    </row>
    <row r="24" spans="1:30" x14ac:dyDescent="0.25">
      <c r="A24" s="4" t="s">
        <v>42</v>
      </c>
      <c r="B24" s="33">
        <v>19</v>
      </c>
      <c r="C24" s="14">
        <f>'Pax Capital'!C35+'Pax Operate Maint'!C33</f>
        <v>1641733.6966013594</v>
      </c>
      <c r="D24" s="14">
        <f>'Pax Capital'!D35+'Pax Operate Maint'!D33</f>
        <v>1815647.3194314293</v>
      </c>
      <c r="E24" s="14">
        <f>'Pax Capital'!E35+'Pax Operate Maint'!E33</f>
        <v>2128171.8185543842</v>
      </c>
      <c r="F24" s="14">
        <f>'Pax Capital'!F35+'Pax Operate Maint'!F33</f>
        <v>1312703.7601439732</v>
      </c>
      <c r="G24" s="14">
        <f>'Pax Capital'!G35+'Pax Operate Maint'!G33</f>
        <v>1735892.40059994</v>
      </c>
      <c r="H24" s="14">
        <f>'Pax Capital'!H35+'Pax Operate Maint'!H33</f>
        <v>1597500.4310242319</v>
      </c>
      <c r="I24" s="14">
        <f>'Pax Capital'!I35+'Pax Operate Maint'!I33</f>
        <v>2127593.3699071752</v>
      </c>
      <c r="J24" s="14">
        <f>'Pax Capital'!J35+'Pax Operate Maint'!J33</f>
        <v>2152486.6076981016</v>
      </c>
      <c r="K24" s="4" t="s">
        <v>42</v>
      </c>
      <c r="L24" s="33">
        <v>19</v>
      </c>
      <c r="M24" s="14">
        <f>'Pax Capital'!M35+'Pax Operate Maint'!M33</f>
        <v>1508005.8562773122</v>
      </c>
      <c r="N24" s="14">
        <f>'Pax Capital'!N35+'Pax Operate Maint'!N33</f>
        <v>1608728.9420012075</v>
      </c>
      <c r="O24" s="14">
        <f>'Pax Capital'!O35+'Pax Operate Maint'!O33</f>
        <v>1708537.1042581855</v>
      </c>
      <c r="P24" s="14">
        <f>'Pax Capital'!P35+'Pax Operate Maint'!P33</f>
        <v>1126546.8404957568</v>
      </c>
      <c r="Q24" s="14">
        <f>'Pax Capital'!Q35+'Pax Operate Maint'!Q33</f>
        <v>1296092.7826654958</v>
      </c>
      <c r="R24" s="14">
        <f>'Pax Capital'!R35+'Pax Operate Maint'!R33</f>
        <v>1182061.425099439</v>
      </c>
      <c r="S24" s="14">
        <f>'Pax Capital'!S35+'Pax Operate Maint'!S33</f>
        <v>1378902.0504871544</v>
      </c>
      <c r="T24" s="14">
        <f>'Pax Capital'!T35+'Pax Operate Maint'!T33</f>
        <v>1399002.7667582585</v>
      </c>
      <c r="U24" s="4" t="s">
        <v>42</v>
      </c>
      <c r="V24" s="33">
        <v>19</v>
      </c>
      <c r="W24" s="14">
        <f>'Pax Capital'!W35+'Pax Operate Maint'!W33</f>
        <v>1776461.5369254064</v>
      </c>
      <c r="X24" s="14">
        <f>'Pax Capital'!X35+'Pax Operate Maint'!X33</f>
        <v>2022565.6968616508</v>
      </c>
      <c r="Y24" s="14">
        <f>'Pax Capital'!Y35+'Pax Operate Maint'!Y33</f>
        <v>2547806.5328505831</v>
      </c>
      <c r="Z24" s="14">
        <f>'Pax Capital'!Z35+'Pax Operate Maint'!Z33</f>
        <v>1498860.6797921895</v>
      </c>
      <c r="AA24" s="14">
        <f>'Pax Capital'!AA35+'Pax Operate Maint'!AA33</f>
        <v>2176692.0185343842</v>
      </c>
      <c r="AB24" s="14">
        <f>'Pax Capital'!AB35+'Pax Operate Maint'!AB33</f>
        <v>2012939.4369490249</v>
      </c>
      <c r="AC24" s="14">
        <f>'Pax Capital'!AC35+'Pax Operate Maint'!AC33</f>
        <v>2876284.6893271962</v>
      </c>
      <c r="AD24" s="14">
        <f>'Pax Capital'!AD35+'Pax Operate Maint'!AD33</f>
        <v>2904970.4486379442</v>
      </c>
    </row>
    <row r="25" spans="1:30" x14ac:dyDescent="0.25">
      <c r="A25" s="4" t="s">
        <v>42</v>
      </c>
      <c r="B25" s="33">
        <v>20</v>
      </c>
      <c r="C25" s="14">
        <f>'Pax Capital'!C36+'Pax Operate Maint'!C34</f>
        <v>1732733.6966013594</v>
      </c>
      <c r="D25" s="14">
        <f>'Pax Capital'!D36+'Pax Operate Maint'!D34</f>
        <v>1919647.3194314293</v>
      </c>
      <c r="E25" s="14">
        <f>'Pax Capital'!E36+'Pax Operate Maint'!E34</f>
        <v>2253171.8185543842</v>
      </c>
      <c r="F25" s="14">
        <f>'Pax Capital'!F36+'Pax Operate Maint'!F34</f>
        <v>1386703.7601439732</v>
      </c>
      <c r="G25" s="14">
        <f>'Pax Capital'!G36+'Pax Operate Maint'!G34</f>
        <v>1838892.40059994</v>
      </c>
      <c r="H25" s="14">
        <f>'Pax Capital'!H36+'Pax Operate Maint'!H34</f>
        <v>1698500.4310242319</v>
      </c>
      <c r="I25" s="14">
        <f>'Pax Capital'!I36+'Pax Operate Maint'!I34</f>
        <v>2252593.3699071752</v>
      </c>
      <c r="J25" s="14">
        <f>'Pax Capital'!J36+'Pax Operate Maint'!J34</f>
        <v>2283486.6076981016</v>
      </c>
      <c r="K25" s="4" t="s">
        <v>42</v>
      </c>
      <c r="L25" s="33">
        <v>20</v>
      </c>
      <c r="M25" s="14">
        <f>'Pax Capital'!M36+'Pax Operate Maint'!M34</f>
        <v>1597005.8562773122</v>
      </c>
      <c r="N25" s="14">
        <f>'Pax Capital'!N36+'Pax Operate Maint'!N34</f>
        <v>1703728.9420012075</v>
      </c>
      <c r="O25" s="14">
        <f>'Pax Capital'!O36+'Pax Operate Maint'!O34</f>
        <v>1814537.1042581855</v>
      </c>
      <c r="P25" s="14">
        <f>'Pax Capital'!P36+'Pax Operate Maint'!P34</f>
        <v>1192546.8404957568</v>
      </c>
      <c r="Q25" s="14">
        <f>'Pax Capital'!Q36+'Pax Operate Maint'!Q34</f>
        <v>1380092.7826654958</v>
      </c>
      <c r="R25" s="14">
        <f>'Pax Capital'!R36+'Pax Operate Maint'!R34</f>
        <v>1255061.425099439</v>
      </c>
      <c r="S25" s="14">
        <f>'Pax Capital'!S36+'Pax Operate Maint'!S34</f>
        <v>1474902.0504871544</v>
      </c>
      <c r="T25" s="14">
        <f>'Pax Capital'!T36+'Pax Operate Maint'!T34</f>
        <v>1497002.7667582585</v>
      </c>
      <c r="U25" s="4" t="s">
        <v>42</v>
      </c>
      <c r="V25" s="33">
        <v>20</v>
      </c>
      <c r="W25" s="14">
        <f>'Pax Capital'!W36+'Pax Operate Maint'!W34</f>
        <v>1868461.5369254064</v>
      </c>
      <c r="X25" s="14">
        <f>'Pax Capital'!X36+'Pax Operate Maint'!X34</f>
        <v>2136565.6968616508</v>
      </c>
      <c r="Y25" s="14">
        <f>'Pax Capital'!Y36+'Pax Operate Maint'!Y34</f>
        <v>2692806.5328505831</v>
      </c>
      <c r="Z25" s="14">
        <f>'Pax Capital'!Z36+'Pax Operate Maint'!Z34</f>
        <v>1581860.6797921895</v>
      </c>
      <c r="AA25" s="14">
        <f>'Pax Capital'!AA36+'Pax Operate Maint'!AA34</f>
        <v>2298692.0185343842</v>
      </c>
      <c r="AB25" s="14">
        <f>'Pax Capital'!AB36+'Pax Operate Maint'!AB34</f>
        <v>2141939.4369490249</v>
      </c>
      <c r="AC25" s="14">
        <f>'Pax Capital'!AC36+'Pax Operate Maint'!AC34</f>
        <v>3030284.6893271962</v>
      </c>
      <c r="AD25" s="14">
        <f>'Pax Capital'!AD36+'Pax Operate Maint'!AD34</f>
        <v>3070970.4486379442</v>
      </c>
    </row>
    <row r="26" spans="1:30" x14ac:dyDescent="0.25">
      <c r="A26" s="4" t="s">
        <v>42</v>
      </c>
      <c r="B26" s="33">
        <v>21</v>
      </c>
      <c r="C26" s="14">
        <f>'Pax Capital'!C37+'Pax Operate Maint'!C35</f>
        <v>1783000</v>
      </c>
      <c r="D26" s="14">
        <f>'Pax Capital'!D37+'Pax Operate Maint'!D35</f>
        <v>1967000</v>
      </c>
      <c r="E26" s="14">
        <f>'Pax Capital'!E37+'Pax Operate Maint'!E35</f>
        <v>2294000</v>
      </c>
      <c r="F26" s="14">
        <f>'Pax Capital'!F37+'Pax Operate Maint'!F35</f>
        <v>1404000</v>
      </c>
      <c r="G26" s="14">
        <f>'Pax Capital'!G37+'Pax Operate Maint'!G35</f>
        <v>1810000</v>
      </c>
      <c r="H26" s="14">
        <f>'Pax Capital'!H37+'Pax Operate Maint'!H35</f>
        <v>1718000</v>
      </c>
      <c r="I26" s="14">
        <f>'Pax Capital'!I37+'Pax Operate Maint'!I35</f>
        <v>2119000</v>
      </c>
      <c r="J26" s="14">
        <f>'Pax Capital'!J37+'Pax Operate Maint'!J35</f>
        <v>2156000</v>
      </c>
      <c r="K26" s="4" t="s">
        <v>42</v>
      </c>
      <c r="L26" s="33">
        <v>21</v>
      </c>
      <c r="M26" s="14">
        <f>'Pax Capital'!M37+'Pax Operate Maint'!M35</f>
        <v>1670000</v>
      </c>
      <c r="N26" s="14">
        <f>'Pax Capital'!N37+'Pax Operate Maint'!N35</f>
        <v>1773000</v>
      </c>
      <c r="O26" s="14">
        <f>'Pax Capital'!O37+'Pax Operate Maint'!O35</f>
        <v>1900000</v>
      </c>
      <c r="P26" s="14">
        <f>'Pax Capital'!P37+'Pax Operate Maint'!P35</f>
        <v>1239000</v>
      </c>
      <c r="Q26" s="14">
        <f>'Pax Capital'!Q37+'Pax Operate Maint'!Q35</f>
        <v>1433000</v>
      </c>
      <c r="R26" s="14">
        <f>'Pax Capital'!R37+'Pax Operate Maint'!R35</f>
        <v>1300000</v>
      </c>
      <c r="S26" s="14">
        <f>'Pax Capital'!S37+'Pax Operate Maint'!S35</f>
        <v>1536000</v>
      </c>
      <c r="T26" s="14">
        <f>'Pax Capital'!T37+'Pax Operate Maint'!T35</f>
        <v>1567000</v>
      </c>
      <c r="U26" s="4" t="s">
        <v>42</v>
      </c>
      <c r="V26" s="33">
        <v>21</v>
      </c>
      <c r="W26" s="14">
        <f>'Pax Capital'!W37+'Pax Operate Maint'!W35</f>
        <v>1896000</v>
      </c>
      <c r="X26" s="14">
        <f>'Pax Capital'!X37+'Pax Operate Maint'!X35</f>
        <v>2162000</v>
      </c>
      <c r="Y26" s="14">
        <f>'Pax Capital'!Y37+'Pax Operate Maint'!Y35</f>
        <v>2689000</v>
      </c>
      <c r="Z26" s="14">
        <f>'Pax Capital'!Z37+'Pax Operate Maint'!Z35</f>
        <v>1568000</v>
      </c>
      <c r="AA26" s="14">
        <f>'Pax Capital'!AA37+'Pax Operate Maint'!AA35</f>
        <v>2187000</v>
      </c>
      <c r="AB26" s="14">
        <f>'Pax Capital'!AB37+'Pax Operate Maint'!AB35</f>
        <v>2136000</v>
      </c>
      <c r="AC26" s="14">
        <f>'Pax Capital'!AC37+'Pax Operate Maint'!AC35</f>
        <v>2702000</v>
      </c>
      <c r="AD26" s="14">
        <f>'Pax Capital'!AD37+'Pax Operate Maint'!AD35</f>
        <v>2745000</v>
      </c>
    </row>
    <row r="27" spans="1:30" x14ac:dyDescent="0.25">
      <c r="A27" s="4" t="s">
        <v>42</v>
      </c>
      <c r="B27" s="33">
        <v>22</v>
      </c>
      <c r="C27" s="14">
        <f>'Pax Capital'!C38+'Pax Operate Maint'!C36</f>
        <v>1889000</v>
      </c>
      <c r="D27" s="14">
        <f>'Pax Capital'!D38+'Pax Operate Maint'!D36</f>
        <v>2090000</v>
      </c>
      <c r="E27" s="14">
        <f>'Pax Capital'!E38+'Pax Operate Maint'!E36</f>
        <v>2442000</v>
      </c>
      <c r="F27" s="14">
        <f>'Pax Capital'!F38+'Pax Operate Maint'!F36</f>
        <v>1491000</v>
      </c>
      <c r="G27" s="14">
        <f>'Pax Capital'!G38+'Pax Operate Maint'!G36</f>
        <v>1932000</v>
      </c>
      <c r="H27" s="14">
        <f>'Pax Capital'!H38+'Pax Operate Maint'!H36</f>
        <v>1838000</v>
      </c>
      <c r="I27" s="14">
        <f>'Pax Capital'!I38+'Pax Operate Maint'!I36</f>
        <v>2267000</v>
      </c>
      <c r="J27" s="14">
        <f>'Pax Capital'!J38+'Pax Operate Maint'!J36</f>
        <v>2313000</v>
      </c>
      <c r="K27" s="4" t="s">
        <v>42</v>
      </c>
      <c r="L27" s="33">
        <v>22</v>
      </c>
      <c r="M27" s="14">
        <f>'Pax Capital'!M38+'Pax Operate Maint'!M36</f>
        <v>1774000</v>
      </c>
      <c r="N27" s="14">
        <f>'Pax Capital'!N38+'Pax Operate Maint'!N36</f>
        <v>1885000</v>
      </c>
      <c r="O27" s="14">
        <f>'Pax Capital'!O38+'Pax Operate Maint'!O36</f>
        <v>2025000</v>
      </c>
      <c r="P27" s="14">
        <f>'Pax Capital'!P38+'Pax Operate Maint'!P36</f>
        <v>1317000</v>
      </c>
      <c r="Q27" s="14">
        <f>'Pax Capital'!Q38+'Pax Operate Maint'!Q36</f>
        <v>1532000</v>
      </c>
      <c r="R27" s="14">
        <f>'Pax Capital'!R38+'Pax Operate Maint'!R36</f>
        <v>1387000</v>
      </c>
      <c r="S27" s="14">
        <f>'Pax Capital'!S38+'Pax Operate Maint'!S36</f>
        <v>1651000</v>
      </c>
      <c r="T27" s="14">
        <f>'Pax Capital'!T38+'Pax Operate Maint'!T36</f>
        <v>1685000</v>
      </c>
      <c r="U27" s="4" t="s">
        <v>42</v>
      </c>
      <c r="V27" s="33">
        <v>22</v>
      </c>
      <c r="W27" s="14">
        <f>'Pax Capital'!W38+'Pax Operate Maint'!W36</f>
        <v>2004000</v>
      </c>
      <c r="X27" s="14">
        <f>'Pax Capital'!X38+'Pax Operate Maint'!X36</f>
        <v>2295000</v>
      </c>
      <c r="Y27" s="14">
        <f>'Pax Capital'!Y38+'Pax Operate Maint'!Y36</f>
        <v>2858000</v>
      </c>
      <c r="Z27" s="14">
        <f>'Pax Capital'!Z38+'Pax Operate Maint'!Z36</f>
        <v>1665000</v>
      </c>
      <c r="AA27" s="14">
        <f>'Pax Capital'!AA38+'Pax Operate Maint'!AA36</f>
        <v>2331000</v>
      </c>
      <c r="AB27" s="14">
        <f>'Pax Capital'!AB38+'Pax Operate Maint'!AB36</f>
        <v>2289000</v>
      </c>
      <c r="AC27" s="14">
        <f>'Pax Capital'!AC38+'Pax Operate Maint'!AC36</f>
        <v>2883000</v>
      </c>
      <c r="AD27" s="14">
        <f>'Pax Capital'!AD38+'Pax Operate Maint'!AD36</f>
        <v>2941000</v>
      </c>
    </row>
    <row r="28" spans="1:30" x14ac:dyDescent="0.25">
      <c r="A28" s="4" t="s">
        <v>42</v>
      </c>
      <c r="B28" s="33">
        <v>23</v>
      </c>
      <c r="C28" s="14">
        <f>'Pax Capital'!C39+'Pax Operate Maint'!C37</f>
        <v>2004000</v>
      </c>
      <c r="D28" s="14">
        <f>'Pax Capital'!D39+'Pax Operate Maint'!D37</f>
        <v>2224000</v>
      </c>
      <c r="E28" s="14">
        <f>'Pax Capital'!E39+'Pax Operate Maint'!E37</f>
        <v>2602000</v>
      </c>
      <c r="F28" s="14">
        <f>'Pax Capital'!F39+'Pax Operate Maint'!F37</f>
        <v>1586000</v>
      </c>
      <c r="G28" s="14">
        <f>'Pax Capital'!G39+'Pax Operate Maint'!G37</f>
        <v>2064000</v>
      </c>
      <c r="H28" s="14">
        <f>'Pax Capital'!H39+'Pax Operate Maint'!H37</f>
        <v>1968000</v>
      </c>
      <c r="I28" s="14">
        <f>'Pax Capital'!I39+'Pax Operate Maint'!I37</f>
        <v>2428000</v>
      </c>
      <c r="J28" s="14">
        <f>'Pax Capital'!J39+'Pax Operate Maint'!J37</f>
        <v>2484000</v>
      </c>
      <c r="K28" s="4" t="s">
        <v>42</v>
      </c>
      <c r="L28" s="33">
        <v>23</v>
      </c>
      <c r="M28" s="14">
        <f>'Pax Capital'!M39+'Pax Operate Maint'!M37</f>
        <v>1887000</v>
      </c>
      <c r="N28" s="14">
        <f>'Pax Capital'!N39+'Pax Operate Maint'!N37</f>
        <v>2007000</v>
      </c>
      <c r="O28" s="14">
        <f>'Pax Capital'!O39+'Pax Operate Maint'!O37</f>
        <v>2162000</v>
      </c>
      <c r="P28" s="14">
        <f>'Pax Capital'!P39+'Pax Operate Maint'!P37</f>
        <v>1402000</v>
      </c>
      <c r="Q28" s="14">
        <f>'Pax Capital'!Q39+'Pax Operate Maint'!Q37</f>
        <v>1640000</v>
      </c>
      <c r="R28" s="14">
        <f>'Pax Capital'!R39+'Pax Operate Maint'!R37</f>
        <v>1481000</v>
      </c>
      <c r="S28" s="14">
        <f>'Pax Capital'!S39+'Pax Operate Maint'!S37</f>
        <v>1777000</v>
      </c>
      <c r="T28" s="14">
        <f>'Pax Capital'!T39+'Pax Operate Maint'!T37</f>
        <v>1814000</v>
      </c>
      <c r="U28" s="4" t="s">
        <v>42</v>
      </c>
      <c r="V28" s="33">
        <v>23</v>
      </c>
      <c r="W28" s="14">
        <f>'Pax Capital'!W39+'Pax Operate Maint'!W37</f>
        <v>2121000</v>
      </c>
      <c r="X28" s="14">
        <f>'Pax Capital'!X39+'Pax Operate Maint'!X37</f>
        <v>2440000</v>
      </c>
      <c r="Y28" s="14">
        <f>'Pax Capital'!Y39+'Pax Operate Maint'!Y37</f>
        <v>3042000</v>
      </c>
      <c r="Z28" s="14">
        <f>'Pax Capital'!Z39+'Pax Operate Maint'!Z37</f>
        <v>1771000</v>
      </c>
      <c r="AA28" s="14">
        <f>'Pax Capital'!AA39+'Pax Operate Maint'!AA37</f>
        <v>2487000</v>
      </c>
      <c r="AB28" s="14">
        <f>'Pax Capital'!AB39+'Pax Operate Maint'!AB37</f>
        <v>2456000</v>
      </c>
      <c r="AC28" s="14">
        <f>'Pax Capital'!AC39+'Pax Operate Maint'!AC37</f>
        <v>3079000</v>
      </c>
      <c r="AD28" s="14">
        <f>'Pax Capital'!AD39+'Pax Operate Maint'!AD37</f>
        <v>3154000</v>
      </c>
    </row>
    <row r="29" spans="1:30" x14ac:dyDescent="0.25">
      <c r="A29" s="4" t="s">
        <v>42</v>
      </c>
      <c r="B29" s="33">
        <v>24</v>
      </c>
      <c r="C29" s="14">
        <f>'Pax Capital'!C40+'Pax Operate Maint'!C38</f>
        <v>2129000</v>
      </c>
      <c r="D29" s="14">
        <f>'Pax Capital'!D40+'Pax Operate Maint'!D38</f>
        <v>2369000</v>
      </c>
      <c r="E29" s="14">
        <f>'Pax Capital'!E40+'Pax Operate Maint'!E38</f>
        <v>2776000</v>
      </c>
      <c r="F29" s="14">
        <f>'Pax Capital'!F40+'Pax Operate Maint'!F38</f>
        <v>1690000</v>
      </c>
      <c r="G29" s="14">
        <f>'Pax Capital'!G40+'Pax Operate Maint'!G38</f>
        <v>2208000</v>
      </c>
      <c r="H29" s="14">
        <f>'Pax Capital'!H40+'Pax Operate Maint'!H38</f>
        <v>2111000</v>
      </c>
      <c r="I29" s="14">
        <f>'Pax Capital'!I40+'Pax Operate Maint'!I38</f>
        <v>2603000</v>
      </c>
      <c r="J29" s="14">
        <f>'Pax Capital'!J40+'Pax Operate Maint'!J38</f>
        <v>2671000</v>
      </c>
      <c r="K29" s="4" t="s">
        <v>42</v>
      </c>
      <c r="L29" s="33">
        <v>24</v>
      </c>
      <c r="M29" s="14">
        <f>'Pax Capital'!M40+'Pax Operate Maint'!M38</f>
        <v>2011000</v>
      </c>
      <c r="N29" s="14">
        <f>'Pax Capital'!N40+'Pax Operate Maint'!N38</f>
        <v>2140000</v>
      </c>
      <c r="O29" s="14">
        <f>'Pax Capital'!O40+'Pax Operate Maint'!O38</f>
        <v>2311000</v>
      </c>
      <c r="P29" s="14">
        <f>'Pax Capital'!P40+'Pax Operate Maint'!P38</f>
        <v>1494000</v>
      </c>
      <c r="Q29" s="14">
        <f>'Pax Capital'!Q40+'Pax Operate Maint'!Q38</f>
        <v>1758000</v>
      </c>
      <c r="R29" s="14">
        <f>'Pax Capital'!R40+'Pax Operate Maint'!R38</f>
        <v>1584000</v>
      </c>
      <c r="S29" s="14">
        <f>'Pax Capital'!S40+'Pax Operate Maint'!S38</f>
        <v>1915000</v>
      </c>
      <c r="T29" s="14">
        <f>'Pax Capital'!T40+'Pax Operate Maint'!T38</f>
        <v>1954000</v>
      </c>
      <c r="U29" s="4" t="s">
        <v>42</v>
      </c>
      <c r="V29" s="33">
        <v>24</v>
      </c>
      <c r="W29" s="14">
        <f>'Pax Capital'!W40+'Pax Operate Maint'!W38</f>
        <v>2248000</v>
      </c>
      <c r="X29" s="14">
        <f>'Pax Capital'!X40+'Pax Operate Maint'!X38</f>
        <v>2598000</v>
      </c>
      <c r="Y29" s="14">
        <f>'Pax Capital'!Y40+'Pax Operate Maint'!Y38</f>
        <v>3241000</v>
      </c>
      <c r="Z29" s="14">
        <f>'Pax Capital'!Z40+'Pax Operate Maint'!Z38</f>
        <v>1885000</v>
      </c>
      <c r="AA29" s="14">
        <f>'Pax Capital'!AA40+'Pax Operate Maint'!AA38</f>
        <v>2657000</v>
      </c>
      <c r="AB29" s="14">
        <f>'Pax Capital'!AB40+'Pax Operate Maint'!AB38</f>
        <v>2638000</v>
      </c>
      <c r="AC29" s="14">
        <f>'Pax Capital'!AC40+'Pax Operate Maint'!AC38</f>
        <v>3292000</v>
      </c>
      <c r="AD29" s="14">
        <f>'Pax Capital'!AD40+'Pax Operate Maint'!AD38</f>
        <v>3387000</v>
      </c>
    </row>
    <row r="30" spans="1:30" x14ac:dyDescent="0.25">
      <c r="A30" s="4" t="s">
        <v>42</v>
      </c>
      <c r="B30" s="33">
        <v>25</v>
      </c>
      <c r="C30" s="14">
        <f>'Pax Capital'!C41+'Pax Operate Maint'!C39</f>
        <v>2265000</v>
      </c>
      <c r="D30" s="14">
        <f>'Pax Capital'!D41+'Pax Operate Maint'!D39</f>
        <v>2526000</v>
      </c>
      <c r="E30" s="14">
        <f>'Pax Capital'!E41+'Pax Operate Maint'!E39</f>
        <v>2966000</v>
      </c>
      <c r="F30" s="14">
        <f>'Pax Capital'!F41+'Pax Operate Maint'!F39</f>
        <v>1802000</v>
      </c>
      <c r="G30" s="14">
        <f>'Pax Capital'!G41+'Pax Operate Maint'!G39</f>
        <v>2364000</v>
      </c>
      <c r="H30" s="14">
        <f>'Pax Capital'!H41+'Pax Operate Maint'!H39</f>
        <v>2266000</v>
      </c>
      <c r="I30" s="14">
        <f>'Pax Capital'!I41+'Pax Operate Maint'!I39</f>
        <v>2795000</v>
      </c>
      <c r="J30" s="14">
        <f>'Pax Capital'!J41+'Pax Operate Maint'!J39</f>
        <v>2874000</v>
      </c>
      <c r="K30" s="4" t="s">
        <v>42</v>
      </c>
      <c r="L30" s="33">
        <v>25</v>
      </c>
      <c r="M30" s="14">
        <f>'Pax Capital'!M41+'Pax Operate Maint'!M39</f>
        <v>2145000</v>
      </c>
      <c r="N30" s="14">
        <f>'Pax Capital'!N41+'Pax Operate Maint'!N39</f>
        <v>2284000</v>
      </c>
      <c r="O30" s="14">
        <f>'Pax Capital'!O41+'Pax Operate Maint'!O39</f>
        <v>2474000</v>
      </c>
      <c r="P30" s="14">
        <f>'Pax Capital'!P41+'Pax Operate Maint'!P39</f>
        <v>1595000</v>
      </c>
      <c r="Q30" s="14">
        <f>'Pax Capital'!Q41+'Pax Operate Maint'!Q39</f>
        <v>1887000</v>
      </c>
      <c r="R30" s="14">
        <f>'Pax Capital'!R41+'Pax Operate Maint'!R39</f>
        <v>1696000</v>
      </c>
      <c r="S30" s="14">
        <f>'Pax Capital'!S41+'Pax Operate Maint'!S39</f>
        <v>2065000</v>
      </c>
      <c r="T30" s="14">
        <f>'Pax Capital'!T41+'Pax Operate Maint'!T39</f>
        <v>2108000</v>
      </c>
      <c r="U30" s="4" t="s">
        <v>42</v>
      </c>
      <c r="V30" s="33">
        <v>25</v>
      </c>
      <c r="W30" s="14">
        <f>'Pax Capital'!W41+'Pax Operate Maint'!W39</f>
        <v>2384000</v>
      </c>
      <c r="X30" s="14">
        <f>'Pax Capital'!X41+'Pax Operate Maint'!X39</f>
        <v>2768000</v>
      </c>
      <c r="Y30" s="14">
        <f>'Pax Capital'!Y41+'Pax Operate Maint'!Y39</f>
        <v>3458000</v>
      </c>
      <c r="Z30" s="14">
        <f>'Pax Capital'!Z41+'Pax Operate Maint'!Z39</f>
        <v>2010000</v>
      </c>
      <c r="AA30" s="14">
        <f>'Pax Capital'!AA41+'Pax Operate Maint'!AA39</f>
        <v>2842000</v>
      </c>
      <c r="AB30" s="14">
        <f>'Pax Capital'!AB41+'Pax Operate Maint'!AB39</f>
        <v>2836000</v>
      </c>
      <c r="AC30" s="14">
        <f>'Pax Capital'!AC41+'Pax Operate Maint'!AC39</f>
        <v>3524000</v>
      </c>
      <c r="AD30" s="14">
        <f>'Pax Capital'!AD41+'Pax Operate Maint'!AD39</f>
        <v>3640000</v>
      </c>
    </row>
    <row r="31" spans="1:30" x14ac:dyDescent="0.25">
      <c r="A31" s="428" t="s">
        <v>51</v>
      </c>
      <c r="B31" s="429"/>
      <c r="C31" s="46">
        <f>-1*'Pax Capital'!C8+'Pax Capital'!C14*25</f>
        <v>283775.43103448278</v>
      </c>
      <c r="D31" s="46">
        <f>-1*'Pax Capital'!D8+'Pax Capital'!D14*25</f>
        <v>394470.10309278348</v>
      </c>
      <c r="E31" s="46">
        <f>-1*'Pax Capital'!E8+'Pax Capital'!E14*25</f>
        <v>576912.52577319578</v>
      </c>
      <c r="F31" s="46">
        <f>-1*'Pax Capital'!F8+'Pax Capital'!F14*25</f>
        <v>382460.15625</v>
      </c>
      <c r="G31" s="46">
        <f>-1*'Pax Capital'!G8+'Pax Capital'!G14*25</f>
        <v>859436.328125</v>
      </c>
      <c r="H31" s="46">
        <f>-1*'Pax Capital'!H8+'Pax Capital'!H14*25</f>
        <v>548046.35416666674</v>
      </c>
      <c r="I31" s="46">
        <f>-1*'Pax Capital'!I8+'Pax Capital'!I14*25</f>
        <v>1654725.573979592</v>
      </c>
      <c r="J31" s="46">
        <f>-1*'Pax Capital'!J8+'Pax Capital'!J14*25</f>
        <v>1666424.5663265307</v>
      </c>
      <c r="K31" s="428" t="s">
        <v>51</v>
      </c>
      <c r="L31" s="429"/>
      <c r="M31" s="46">
        <f>-1*'Pax Capital'!M8+'Pax Capital'!M14*25</f>
        <v>130973.27586206899</v>
      </c>
      <c r="N31" s="46">
        <f>-1*'Pax Capital'!N8+'Pax Capital'!N14*25</f>
        <v>197235.05154639174</v>
      </c>
      <c r="O31" s="46">
        <f>-1*'Pax Capital'!O8+'Pax Capital'!O14*25</f>
        <v>177511.54639175258</v>
      </c>
      <c r="P31" s="46">
        <f>-1*'Pax Capital'!P8+'Pax Capital'!P14*25</f>
        <v>140495.5676020408</v>
      </c>
      <c r="Q31" s="46">
        <f>-1*'Pax Capital'!Q8+'Pax Capital'!Q14*25</f>
        <v>224200.78125</v>
      </c>
      <c r="R31" s="46">
        <f>-1*'Pax Capital'!R8+'Pax Capital'!R14*25</f>
        <v>199289.58333333331</v>
      </c>
      <c r="S31" s="46">
        <f>-1*'Pax Capital'!S8+'Pax Capital'!S14*25</f>
        <v>266277.67857142858</v>
      </c>
      <c r="T31" s="46">
        <f>-1*'Pax Capital'!T8+'Pax Capital'!T14*25</f>
        <v>223644.54081632657</v>
      </c>
      <c r="U31" s="428" t="s">
        <v>51</v>
      </c>
      <c r="V31" s="429"/>
      <c r="W31" s="46">
        <f>-1*'Pax Capital'!W8+'Pax Capital'!W14*25</f>
        <v>436577.5862068967</v>
      </c>
      <c r="X31" s="46">
        <f>-1*'Pax Capital'!X8+'Pax Capital'!X14*25</f>
        <v>591705.15463917516</v>
      </c>
      <c r="Y31" s="46">
        <f>-1*'Pax Capital'!Y8+'Pax Capital'!Y14*25</f>
        <v>976313.50515463925</v>
      </c>
      <c r="Z31" s="46">
        <f>-1*'Pax Capital'!Z8+'Pax Capital'!Z14*25</f>
        <v>624424.74489795906</v>
      </c>
      <c r="AA31" s="46">
        <f>-1*'Pax Capital'!AA8+'Pax Capital'!AA14*25</f>
        <v>1494671.875</v>
      </c>
      <c r="AB31" s="46">
        <f>-1*'Pax Capital'!AB8+'Pax Capital'!AB14*25</f>
        <v>896803.125</v>
      </c>
      <c r="AC31" s="46">
        <f>-1*'Pax Capital'!AC8+'Pax Capital'!AC14*25</f>
        <v>3043173.4693877553</v>
      </c>
      <c r="AD31" s="46">
        <f>-1*'Pax Capital'!AD8+'Pax Capital'!AD14*25</f>
        <v>3109204.5918367347</v>
      </c>
    </row>
    <row r="33" spans="1:30" x14ac:dyDescent="0.25">
      <c r="A33" s="140" t="s">
        <v>155</v>
      </c>
      <c r="B33" s="141"/>
      <c r="C33" s="145">
        <f>ROUND(C5,-3)</f>
        <v>134000</v>
      </c>
      <c r="D33" s="145">
        <f t="shared" ref="D33:J33" si="2">ROUND(D5,-3)</f>
        <v>186000</v>
      </c>
      <c r="E33" s="145">
        <f t="shared" si="2"/>
        <v>271000</v>
      </c>
      <c r="F33" s="145">
        <f t="shared" si="2"/>
        <v>180000</v>
      </c>
      <c r="G33" s="145">
        <f t="shared" si="2"/>
        <v>404000</v>
      </c>
      <c r="H33" s="145">
        <f t="shared" si="2"/>
        <v>258000</v>
      </c>
      <c r="I33" s="145">
        <f t="shared" si="2"/>
        <v>779000</v>
      </c>
      <c r="J33" s="145">
        <f t="shared" si="2"/>
        <v>784000</v>
      </c>
      <c r="K33" s="140" t="s">
        <v>155</v>
      </c>
      <c r="L33" s="141"/>
      <c r="M33" s="145">
        <f>ROUND(M5,-3)</f>
        <v>62000</v>
      </c>
      <c r="N33" s="145">
        <f t="shared" ref="N33:T33" si="3">ROUND(N5,-3)</f>
        <v>93000</v>
      </c>
      <c r="O33" s="145">
        <f t="shared" si="3"/>
        <v>84000</v>
      </c>
      <c r="P33" s="145">
        <f t="shared" si="3"/>
        <v>66000</v>
      </c>
      <c r="Q33" s="145">
        <f t="shared" si="3"/>
        <v>106000</v>
      </c>
      <c r="R33" s="145">
        <f t="shared" si="3"/>
        <v>94000</v>
      </c>
      <c r="S33" s="145">
        <f t="shared" si="3"/>
        <v>125000</v>
      </c>
      <c r="T33" s="145">
        <f t="shared" si="3"/>
        <v>105000</v>
      </c>
      <c r="U33" s="140" t="s">
        <v>155</v>
      </c>
      <c r="V33" s="141"/>
      <c r="W33" s="145">
        <f>ROUND(W5,-3)</f>
        <v>205000</v>
      </c>
      <c r="X33" s="145">
        <f t="shared" ref="X33:AD33" si="4">ROUND(X5,-3)</f>
        <v>278000</v>
      </c>
      <c r="Y33" s="145">
        <f t="shared" si="4"/>
        <v>459000</v>
      </c>
      <c r="Z33" s="145">
        <f t="shared" si="4"/>
        <v>294000</v>
      </c>
      <c r="AA33" s="145">
        <f t="shared" si="4"/>
        <v>703000</v>
      </c>
      <c r="AB33" s="145">
        <f t="shared" si="4"/>
        <v>422000</v>
      </c>
      <c r="AC33" s="145">
        <f t="shared" si="4"/>
        <v>1432000</v>
      </c>
      <c r="AD33" s="145">
        <f t="shared" si="4"/>
        <v>1463000</v>
      </c>
    </row>
    <row r="34" spans="1:30" x14ac:dyDescent="0.25">
      <c r="A34" s="140" t="s">
        <v>154</v>
      </c>
      <c r="B34" s="141"/>
      <c r="C34" s="145">
        <f>ROUND(SUM('Pax Capital'!C17:C41),-3)</f>
        <v>955000</v>
      </c>
      <c r="D34" s="145">
        <f>ROUND(SUM('Pax Capital'!D17:D41),-3)</f>
        <v>1313000</v>
      </c>
      <c r="E34" s="145">
        <f>ROUND(SUM('Pax Capital'!E17:E41),-3)</f>
        <v>1903000</v>
      </c>
      <c r="F34" s="145">
        <f>ROUND(SUM('Pax Capital'!F17:F41),-3)</f>
        <v>1274000</v>
      </c>
      <c r="G34" s="145">
        <f>ROUND(SUM('Pax Capital'!G17:G41),-3)</f>
        <v>2818000</v>
      </c>
      <c r="H34" s="145">
        <f>ROUND(SUM('Pax Capital'!H17:H41),-3)</f>
        <v>1810000</v>
      </c>
      <c r="I34" s="145">
        <f>ROUND(SUM('Pax Capital'!I17:I41),-3)</f>
        <v>5392000</v>
      </c>
      <c r="J34" s="145">
        <f>ROUND(SUM('Pax Capital'!J17:J41),-3)</f>
        <v>5430000</v>
      </c>
      <c r="K34" s="140" t="s">
        <v>154</v>
      </c>
      <c r="L34" s="141"/>
      <c r="M34" s="145">
        <f>ROUND(SUM('Pax Capital'!M17:M41),-3)</f>
        <v>460000</v>
      </c>
      <c r="N34" s="145">
        <f>ROUND(SUM('Pax Capital'!N17:N41),-3)</f>
        <v>675000</v>
      </c>
      <c r="O34" s="145">
        <f>ROUND(SUM('Pax Capital'!O17:O41),-3)</f>
        <v>611000</v>
      </c>
      <c r="P34" s="145">
        <f>ROUND(SUM('Pax Capital'!P17:P41),-3)</f>
        <v>491000</v>
      </c>
      <c r="Q34" s="145">
        <f>ROUND(SUM('Pax Capital'!Q17:Q41),-3)</f>
        <v>762000</v>
      </c>
      <c r="R34" s="145">
        <f>ROUND(SUM('Pax Capital'!R17:R41),-3)</f>
        <v>681000</v>
      </c>
      <c r="S34" s="145">
        <f>ROUND(SUM('Pax Capital'!S17:S41),-3)</f>
        <v>898000</v>
      </c>
      <c r="T34" s="145">
        <f>ROUND(SUM('Pax Capital'!T17:T41),-3)</f>
        <v>760000</v>
      </c>
      <c r="U34" s="140" t="s">
        <v>154</v>
      </c>
      <c r="V34" s="141"/>
      <c r="W34" s="145">
        <f>ROUND(SUM('Pax Capital'!W17:W41),-3)</f>
        <v>1449000</v>
      </c>
      <c r="X34" s="145">
        <f>ROUND(SUM('Pax Capital'!X17:X41),-3)</f>
        <v>1951000</v>
      </c>
      <c r="Y34" s="145">
        <f>ROUND(SUM('Pax Capital'!Y17:Y41),-3)</f>
        <v>3196000</v>
      </c>
      <c r="Z34" s="145">
        <f>ROUND(SUM('Pax Capital'!Z17:Z41),-3)</f>
        <v>2057000</v>
      </c>
      <c r="AA34" s="145">
        <f>ROUND(SUM('Pax Capital'!AA17:AA41),-3)</f>
        <v>4874000</v>
      </c>
      <c r="AB34" s="145">
        <f>ROUND(SUM('Pax Capital'!AB17:AB41),-3)</f>
        <v>2939000</v>
      </c>
      <c r="AC34" s="145">
        <f>ROUND(SUM('Pax Capital'!AC17:AC41),-3)</f>
        <v>9886000</v>
      </c>
      <c r="AD34" s="145">
        <f>ROUND(SUM('Pax Capital'!AD17:AD41),-3)</f>
        <v>10099000</v>
      </c>
    </row>
    <row r="35" spans="1:30" x14ac:dyDescent="0.25">
      <c r="A35" s="140" t="s">
        <v>146</v>
      </c>
      <c r="B35" s="141"/>
      <c r="C35" s="142"/>
      <c r="D35" s="142"/>
      <c r="E35" s="142"/>
      <c r="F35" s="142"/>
      <c r="G35" s="142"/>
      <c r="H35" s="142"/>
      <c r="I35" s="142"/>
      <c r="J35" s="142"/>
      <c r="K35" s="140" t="s">
        <v>146</v>
      </c>
      <c r="L35" s="141"/>
      <c r="M35" s="142"/>
      <c r="N35" s="142"/>
      <c r="O35" s="142"/>
      <c r="P35" s="142"/>
      <c r="Q35" s="142"/>
      <c r="R35" s="142"/>
      <c r="S35" s="142"/>
      <c r="T35" s="142"/>
      <c r="U35" s="140" t="s">
        <v>146</v>
      </c>
      <c r="V35" s="141"/>
      <c r="W35" s="142"/>
      <c r="X35" s="142"/>
      <c r="Y35" s="142"/>
      <c r="Z35" s="142"/>
      <c r="AA35" s="142"/>
      <c r="AB35" s="142"/>
      <c r="AC35" s="142"/>
      <c r="AD35" s="142"/>
    </row>
    <row r="36" spans="1:30" x14ac:dyDescent="0.25">
      <c r="A36" s="143" t="s">
        <v>141</v>
      </c>
      <c r="B36" s="141"/>
      <c r="C36" s="145">
        <f>ROUND(SUM('Pax Operate Maint'!C41:C67),-3)</f>
        <v>20417000</v>
      </c>
      <c r="D36" s="145">
        <f>ROUND(SUM('Pax Operate Maint'!D41:D67),-3)</f>
        <v>23359000</v>
      </c>
      <c r="E36" s="145">
        <f>ROUND(SUM('Pax Operate Maint'!E41:E67),-3)</f>
        <v>26384000</v>
      </c>
      <c r="F36" s="145">
        <f>ROUND(SUM('Pax Operate Maint'!F41:F67),-3)</f>
        <v>15319000</v>
      </c>
      <c r="G36" s="145">
        <f>ROUND(SUM('Pax Operate Maint'!G41:G67),-3)</f>
        <v>18843000</v>
      </c>
      <c r="H36" s="145">
        <f>ROUND(SUM('Pax Operate Maint'!H41:H67),-3)</f>
        <v>19111000</v>
      </c>
      <c r="I36" s="145">
        <f>ROUND(SUM('Pax Operate Maint'!I41:I67),-3)</f>
        <v>20925000</v>
      </c>
      <c r="J36" s="145">
        <f>ROUND(SUM('Pax Operate Maint'!J41:J67),-3)</f>
        <v>23349000</v>
      </c>
      <c r="K36" s="143" t="s">
        <v>141</v>
      </c>
      <c r="L36" s="141"/>
      <c r="M36" s="145">
        <f>ROUND(SUM('Pax Operate Maint'!M41:M67),-3)</f>
        <v>20841000</v>
      </c>
      <c r="N36" s="145">
        <f>ROUND(SUM('Pax Operate Maint'!N41:N67),-3)</f>
        <v>22413000</v>
      </c>
      <c r="O36" s="145">
        <f>ROUND(SUM('Pax Operate Maint'!O41:O67),-3)</f>
        <v>24454000</v>
      </c>
      <c r="P36" s="145">
        <f>ROUND(SUM('Pax Operate Maint'!P41:P67),-3)</f>
        <v>14390000</v>
      </c>
      <c r="Q36" s="145">
        <f>ROUND(SUM('Pax Operate Maint'!Q41:Q67),-3)</f>
        <v>16622000</v>
      </c>
      <c r="R36" s="145">
        <f>ROUND(SUM('Pax Operate Maint'!R41:R67),-3)</f>
        <v>14815000</v>
      </c>
      <c r="S36" s="145">
        <f>ROUND(SUM('Pax Operate Maint'!S41:S67),-3)</f>
        <v>17802000</v>
      </c>
      <c r="T36" s="145">
        <f>ROUND(SUM('Pax Operate Maint'!T41:T67),-3)</f>
        <v>18864000</v>
      </c>
      <c r="U36" s="143" t="s">
        <v>141</v>
      </c>
      <c r="V36" s="141"/>
      <c r="W36" s="145">
        <f>ROUND(SUM('Pax Operate Maint'!W41:W67),-3)</f>
        <v>19992000</v>
      </c>
      <c r="X36" s="145">
        <f>ROUND(SUM('Pax Operate Maint'!X41:X67),-3)</f>
        <v>24305000</v>
      </c>
      <c r="Y36" s="145">
        <f>ROUND(SUM('Pax Operate Maint'!Y41:Y67),-3)</f>
        <v>28313000</v>
      </c>
      <c r="Z36" s="145">
        <f>ROUND(SUM('Pax Operate Maint'!Z41:Z67),-3)</f>
        <v>16247000</v>
      </c>
      <c r="AA36" s="145">
        <f>ROUND(SUM('Pax Operate Maint'!AA41:AA67),-3)</f>
        <v>21063000</v>
      </c>
      <c r="AB36" s="145">
        <f>ROUND(SUM('Pax Operate Maint'!AB41:AB67),-3)</f>
        <v>23408000</v>
      </c>
      <c r="AC36" s="145">
        <f>ROUND(SUM('Pax Operate Maint'!AC41:AC67),-3)</f>
        <v>24048000</v>
      </c>
      <c r="AD36" s="145">
        <f>ROUND(SUM('Pax Operate Maint'!AD41:AD67),-3)</f>
        <v>27835000</v>
      </c>
    </row>
    <row r="37" spans="1:30" x14ac:dyDescent="0.25">
      <c r="A37" s="143" t="s">
        <v>147</v>
      </c>
      <c r="B37" s="141"/>
      <c r="C37" s="145">
        <f>ROUND(SUM('Pax Operate Maint'!C69:C94),-3)</f>
        <v>9686000</v>
      </c>
      <c r="D37" s="145">
        <f>ROUND(SUM('Pax Operate Maint'!D69:D94),-3)</f>
        <v>9438000</v>
      </c>
      <c r="E37" s="145">
        <f>ROUND(SUM('Pax Operate Maint'!E69:E94),-3)</f>
        <v>11518000</v>
      </c>
      <c r="F37" s="145">
        <f>ROUND(SUM('Pax Operate Maint'!F69:F94),-3)</f>
        <v>7519000</v>
      </c>
      <c r="G37" s="145">
        <f>ROUND(SUM('Pax Operate Maint'!G69:G94),-3)</f>
        <v>9694000</v>
      </c>
      <c r="H37" s="145">
        <f>ROUND(SUM('Pax Operate Maint'!H69:H94),-3)</f>
        <v>7972000</v>
      </c>
      <c r="I37" s="145">
        <f>ROUND(SUM('Pax Operate Maint'!I69:I94),-3)</f>
        <v>11241000</v>
      </c>
      <c r="J37" s="145">
        <f>ROUND(SUM('Pax Operate Maint'!J69:J94),-3)</f>
        <v>9006000</v>
      </c>
      <c r="K37" s="143" t="s">
        <v>147</v>
      </c>
      <c r="L37" s="141"/>
      <c r="M37" s="145">
        <f>ROUND(SUM('Pax Operate Maint'!M69:M94),-3)</f>
        <v>7131000</v>
      </c>
      <c r="N37" s="145">
        <f>ROUND(SUM('Pax Operate Maint'!N69:N94),-3)</f>
        <v>7189000</v>
      </c>
      <c r="O37" s="145">
        <f>ROUND(SUM('Pax Operate Maint'!O69:O94),-3)</f>
        <v>6964000</v>
      </c>
      <c r="P37" s="145">
        <f>ROUND(SUM('Pax Operate Maint'!P69:P94),-3)</f>
        <v>5888000</v>
      </c>
      <c r="Q37" s="145">
        <f>ROUND(SUM('Pax Operate Maint'!Q69:Q94),-3)</f>
        <v>6180000</v>
      </c>
      <c r="R37" s="145">
        <f>ROUND(SUM('Pax Operate Maint'!R69:R94),-3)</f>
        <v>6043000</v>
      </c>
      <c r="S37" s="145">
        <f>ROUND(SUM('Pax Operate Maint'!S69:S94),-3)</f>
        <v>5954000</v>
      </c>
      <c r="T37" s="145">
        <f>ROUND(SUM('Pax Operate Maint'!T69:T94),-3)</f>
        <v>5486000</v>
      </c>
      <c r="U37" s="143" t="s">
        <v>147</v>
      </c>
      <c r="V37" s="141"/>
      <c r="W37" s="145">
        <f>ROUND(SUM('Pax Operate Maint'!W69:W94),-3)</f>
        <v>12241000</v>
      </c>
      <c r="X37" s="145">
        <f>ROUND(SUM('Pax Operate Maint'!X69:X94),-3)</f>
        <v>11687000</v>
      </c>
      <c r="Y37" s="145">
        <f>ROUND(SUM('Pax Operate Maint'!Y69:Y94),-3)</f>
        <v>16072000</v>
      </c>
      <c r="Z37" s="145">
        <f>ROUND(SUM('Pax Operate Maint'!Z69:Z94),-3)</f>
        <v>9151000</v>
      </c>
      <c r="AA37" s="145">
        <f>ROUND(SUM('Pax Operate Maint'!AA69:AA94),-3)</f>
        <v>13208000</v>
      </c>
      <c r="AB37" s="145">
        <f>ROUND(SUM('Pax Operate Maint'!AB69:AB94),-3)</f>
        <v>9901000</v>
      </c>
      <c r="AC37" s="145">
        <f>ROUND(SUM('Pax Operate Maint'!AC69:AC94),-3)</f>
        <v>16527000</v>
      </c>
      <c r="AD37" s="145">
        <f>ROUND(SUM('Pax Operate Maint'!AD69:AD94),-3)</f>
        <v>12526000</v>
      </c>
    </row>
    <row r="38" spans="1:30" x14ac:dyDescent="0.25">
      <c r="A38" s="143" t="s">
        <v>148</v>
      </c>
      <c r="B38" s="141"/>
      <c r="C38" s="145">
        <f>ROUND(SUM('Pax Operate Maint'!C97:C122),-3)</f>
        <v>2002000</v>
      </c>
      <c r="D38" s="145">
        <f>ROUND(SUM('Pax Operate Maint'!D97:D122),-3)</f>
        <v>2169000</v>
      </c>
      <c r="E38" s="145">
        <f>ROUND(SUM('Pax Operate Maint'!E97:E122),-3)</f>
        <v>2444000</v>
      </c>
      <c r="F38" s="145">
        <f>ROUND(SUM('Pax Operate Maint'!F97:F122),-3)</f>
        <v>2150000</v>
      </c>
      <c r="G38" s="145">
        <f>ROUND(SUM('Pax Operate Maint'!G97:G122),-3)</f>
        <v>2869000</v>
      </c>
      <c r="H38" s="145">
        <f>ROUND(SUM('Pax Operate Maint'!H97:H122),-3)</f>
        <v>2400000</v>
      </c>
      <c r="I38" s="145">
        <f>ROUND(SUM('Pax Operate Maint'!I97:I122),-3)</f>
        <v>4068000</v>
      </c>
      <c r="J38" s="145">
        <f>ROUND(SUM('Pax Operate Maint'!J97:J122),-3)</f>
        <v>4086000</v>
      </c>
      <c r="K38" s="143" t="s">
        <v>148</v>
      </c>
      <c r="L38" s="141"/>
      <c r="M38" s="145">
        <f>ROUND(SUM('Pax Operate Maint'!M97:M122),-3)</f>
        <v>1771000</v>
      </c>
      <c r="N38" s="145">
        <f>ROUND(SUM('Pax Operate Maint'!N97:N122),-3)</f>
        <v>1871000</v>
      </c>
      <c r="O38" s="145">
        <f>ROUND(SUM('Pax Operate Maint'!O97:O122),-3)</f>
        <v>1842000</v>
      </c>
      <c r="P38" s="145">
        <f>ROUND(SUM('Pax Operate Maint'!P97:P122),-3)</f>
        <v>1786000</v>
      </c>
      <c r="Q38" s="145">
        <f>ROUND(SUM('Pax Operate Maint'!Q97:Q122),-3)</f>
        <v>1912000</v>
      </c>
      <c r="R38" s="145">
        <f>ROUND(SUM('Pax Operate Maint'!R97:R122),-3)</f>
        <v>1874000</v>
      </c>
      <c r="S38" s="145">
        <f>ROUND(SUM('Pax Operate Maint'!S97:S122),-3)</f>
        <v>1975000</v>
      </c>
      <c r="T38" s="145">
        <f>ROUND(SUM('Pax Operate Maint'!T97:T122),-3)</f>
        <v>1911000</v>
      </c>
      <c r="U38" s="143" t="s">
        <v>148</v>
      </c>
      <c r="V38" s="141"/>
      <c r="W38" s="145">
        <f>ROUND(SUM('Pax Operate Maint'!W97:W122),-3)</f>
        <v>2232000</v>
      </c>
      <c r="X38" s="145">
        <f>ROUND(SUM('Pax Operate Maint'!X97:X122),-3)</f>
        <v>2466000</v>
      </c>
      <c r="Y38" s="145">
        <f>ROUND(SUM('Pax Operate Maint'!Y97:Y122),-3)</f>
        <v>3046000</v>
      </c>
      <c r="Z38" s="145">
        <f>ROUND(SUM('Pax Operate Maint'!Z97:Z122),-3)</f>
        <v>2515000</v>
      </c>
      <c r="AA38" s="145">
        <f>ROUND(SUM('Pax Operate Maint'!AA97:AA122),-3)</f>
        <v>3827000</v>
      </c>
      <c r="AB38" s="145">
        <f>ROUND(SUM('Pax Operate Maint'!AB97:AB122),-3)</f>
        <v>2926000</v>
      </c>
      <c r="AC38" s="145">
        <f>ROUND(SUM('Pax Operate Maint'!AC97:AC122),-3)</f>
        <v>6161000</v>
      </c>
      <c r="AD38" s="145">
        <f>ROUND(SUM('Pax Operate Maint'!AD97:AD122),-3)</f>
        <v>6260000</v>
      </c>
    </row>
    <row r="39" spans="1:30" ht="25.5" x14ac:dyDescent="0.25">
      <c r="A39" s="148" t="s">
        <v>218</v>
      </c>
      <c r="B39" s="141"/>
      <c r="C39" s="142">
        <f>C33+C34+C36+C37+C38</f>
        <v>33194000</v>
      </c>
      <c r="D39" s="142">
        <f t="shared" ref="D39:J39" si="5">D33+D34+D36+D37+D38</f>
        <v>36465000</v>
      </c>
      <c r="E39" s="142">
        <f t="shared" si="5"/>
        <v>42520000</v>
      </c>
      <c r="F39" s="142">
        <f t="shared" si="5"/>
        <v>26442000</v>
      </c>
      <c r="G39" s="142">
        <f t="shared" si="5"/>
        <v>34628000</v>
      </c>
      <c r="H39" s="142">
        <f t="shared" si="5"/>
        <v>31551000</v>
      </c>
      <c r="I39" s="142">
        <f t="shared" si="5"/>
        <v>42405000</v>
      </c>
      <c r="J39" s="142">
        <f t="shared" si="5"/>
        <v>42655000</v>
      </c>
      <c r="K39" s="148" t="s">
        <v>156</v>
      </c>
      <c r="L39" s="141"/>
      <c r="M39" s="142">
        <f>M33+M34+M36+M37+M38</f>
        <v>30265000</v>
      </c>
      <c r="N39" s="142">
        <f t="shared" ref="N39" si="6">N33+N34+N36+N37+N38</f>
        <v>32241000</v>
      </c>
      <c r="O39" s="142">
        <f t="shared" ref="O39" si="7">O33+O34+O36+O37+O38</f>
        <v>33955000</v>
      </c>
      <c r="P39" s="142">
        <f t="shared" ref="P39" si="8">P33+P34+P36+P37+P38</f>
        <v>22621000</v>
      </c>
      <c r="Q39" s="142">
        <f t="shared" ref="Q39" si="9">Q33+Q34+Q36+Q37+Q38</f>
        <v>25582000</v>
      </c>
      <c r="R39" s="142">
        <f t="shared" ref="R39" si="10">R33+R34+R36+R37+R38</f>
        <v>23507000</v>
      </c>
      <c r="S39" s="142">
        <f t="shared" ref="S39" si="11">S33+S34+S36+S37+S38</f>
        <v>26754000</v>
      </c>
      <c r="T39" s="142">
        <f t="shared" ref="T39" si="12">T33+T34+T36+T37+T38</f>
        <v>27126000</v>
      </c>
      <c r="U39" s="148" t="s">
        <v>156</v>
      </c>
      <c r="V39" s="141"/>
      <c r="W39" s="142">
        <f>W33+W34+W36+W37+W38</f>
        <v>36119000</v>
      </c>
      <c r="X39" s="142">
        <f t="shared" ref="X39" si="13">X33+X34+X36+X37+X38</f>
        <v>40687000</v>
      </c>
      <c r="Y39" s="142">
        <f t="shared" ref="Y39" si="14">Y33+Y34+Y36+Y37+Y38</f>
        <v>51086000</v>
      </c>
      <c r="Z39" s="142">
        <f t="shared" ref="Z39" si="15">Z33+Z34+Z36+Z37+Z38</f>
        <v>30264000</v>
      </c>
      <c r="AA39" s="142">
        <f t="shared" ref="AA39" si="16">AA33+AA34+AA36+AA37+AA38</f>
        <v>43675000</v>
      </c>
      <c r="AB39" s="142">
        <f t="shared" ref="AB39" si="17">AB33+AB34+AB36+AB37+AB38</f>
        <v>39596000</v>
      </c>
      <c r="AC39" s="142">
        <f t="shared" ref="AC39" si="18">AC33+AC34+AC36+AC37+AC38</f>
        <v>58054000</v>
      </c>
      <c r="AD39" s="142">
        <f t="shared" ref="AD39" si="19">AD33+AD34+AD36+AD37+AD38</f>
        <v>58183000</v>
      </c>
    </row>
    <row r="40" spans="1:30" x14ac:dyDescent="0.25">
      <c r="A40" s="146" t="s">
        <v>157</v>
      </c>
      <c r="C40" s="57">
        <f>ROUND(NPV('User Inputs'!$E12, C5:C29, C30-C31),-3)</f>
        <v>24118000</v>
      </c>
      <c r="D40" s="57">
        <f>ROUND(NPV('User Inputs'!$E12, D5:D29, D30-D31),-3)</f>
        <v>26415000</v>
      </c>
      <c r="E40" s="57">
        <f>ROUND(NPV('User Inputs'!$E12, E5:E29, E30-E31),-3)</f>
        <v>30719000</v>
      </c>
      <c r="F40" s="57">
        <f>ROUND(NPV('User Inputs'!$E12, F5:F29, F30-F31),-3)</f>
        <v>19138000</v>
      </c>
      <c r="G40" s="57">
        <f>ROUND(NPV('User Inputs'!$E12, G5:G29, G30-G31),-3)</f>
        <v>24871000</v>
      </c>
      <c r="H40" s="57">
        <f>ROUND(NPV('User Inputs'!$E12, H5:H29, H30-H31),-3)</f>
        <v>22669000</v>
      </c>
      <c r="I40" s="57">
        <f>ROUND(NPV('User Inputs'!$E12, I5:I29, I30-I31),-3)</f>
        <v>30246000</v>
      </c>
      <c r="J40" s="57">
        <f>ROUND(NPV('User Inputs'!$E12, J5:J29, J30-J31),-3)</f>
        <v>30365000</v>
      </c>
      <c r="K40" s="146" t="s">
        <v>157</v>
      </c>
      <c r="M40" s="57">
        <f>ROUND(NPV('User Inputs'!$E12, M5:M29,M30-M31),-3)</f>
        <v>21980000</v>
      </c>
      <c r="N40" s="57">
        <f>ROUND(NPV('User Inputs'!$E12, N5:N29,N30-N31),-3)</f>
        <v>23389000</v>
      </c>
      <c r="O40" s="57">
        <f>ROUND(NPV('User Inputs'!$E12, O5:O29,O30-O31),-3)</f>
        <v>24575000</v>
      </c>
      <c r="P40" s="57">
        <f>ROUND(NPV('User Inputs'!$E12, P5:P29,P30-P31),-3)</f>
        <v>16418000</v>
      </c>
      <c r="Q40" s="57">
        <f>ROUND(NPV('User Inputs'!$E12, Q5:Q29,Q30-Q31),-3)</f>
        <v>18447000</v>
      </c>
      <c r="R40" s="57">
        <f>ROUND(NPV('User Inputs'!$E12, R5:R29,R30-R31),-3)</f>
        <v>16995000</v>
      </c>
      <c r="S40" s="57">
        <f>ROUND(NPV('User Inputs'!$E12, S5:S29,S30-S31),-3)</f>
        <v>19182000</v>
      </c>
      <c r="T40" s="57">
        <f>ROUND(NPV('User Inputs'!$E12, T5:T29,T30-T31),-3)</f>
        <v>19458000</v>
      </c>
      <c r="U40" s="146" t="s">
        <v>157</v>
      </c>
      <c r="W40" s="57">
        <f>ROUND(NPV('User Inputs'!$E12, W5:W29,W30-W31),-3)</f>
        <v>26255000</v>
      </c>
      <c r="X40" s="57">
        <f>ROUND(NPV('User Inputs'!$E12, X5:X29,X30-X31),-3)</f>
        <v>29443000</v>
      </c>
      <c r="Y40" s="57">
        <f>ROUND(NPV('User Inputs'!$E12, Y5:Y29,Y30-Y31),-3)</f>
        <v>36860000</v>
      </c>
      <c r="Z40" s="57">
        <f>ROUND(NPV('User Inputs'!$E12, Z5:Z29,Z30-Z31),-3)</f>
        <v>21860000</v>
      </c>
      <c r="AA40" s="57">
        <f>ROUND(NPV('User Inputs'!$E12, AA5:AA29,AA30-AA31),-3)</f>
        <v>31293000</v>
      </c>
      <c r="AB40" s="57">
        <f>ROUND(NPV('User Inputs'!$E12, AB5:AB29,AB30-AB31),-3)</f>
        <v>28343000</v>
      </c>
      <c r="AC40" s="57">
        <f>ROUND(NPV('User Inputs'!$E12, AC5:AC29,AC30-AC31),-3)</f>
        <v>41311000</v>
      </c>
      <c r="AD40" s="57">
        <f>ROUND(NPV('User Inputs'!$E12, AD5:AD29,AD30-AD31),-3)</f>
        <v>41272000</v>
      </c>
    </row>
    <row r="41" spans="1:30" ht="31.5" customHeight="1" x14ac:dyDescent="0.25">
      <c r="A41" s="147" t="s">
        <v>138</v>
      </c>
      <c r="C41" s="119">
        <f>+C6/'User Inputs'!$B23</f>
        <v>5.4254536794968615</v>
      </c>
      <c r="D41" s="119">
        <f>+D6/'User Inputs'!$B23</f>
        <v>5.8379438705942253</v>
      </c>
      <c r="E41" s="119">
        <f>+E6/'User Inputs'!$B23</f>
        <v>6.6963804740340755</v>
      </c>
      <c r="F41" s="119">
        <f>+F6/'User Inputs'!$B23</f>
        <v>4.3141293457547949</v>
      </c>
      <c r="G41" s="119">
        <f>+G6/'User Inputs'!$B23</f>
        <v>5.5334216566947285</v>
      </c>
      <c r="H41" s="119">
        <f>+H6/'User Inputs'!$B23</f>
        <v>4.7827666027366948</v>
      </c>
      <c r="I41" s="119">
        <f>+I6/'User Inputs'!$B23</f>
        <v>6.9273032044670595</v>
      </c>
      <c r="J41" s="119">
        <f>+J6/'User Inputs'!$B23</f>
        <v>6.8197051830349098</v>
      </c>
      <c r="K41" s="147" t="s">
        <v>138</v>
      </c>
      <c r="M41" s="119">
        <f>+M6/'User Inputs'!$B23</f>
        <v>4.779243990579146</v>
      </c>
      <c r="N41" s="119">
        <f>+N6/'User Inputs'!$B23</f>
        <v>5.0835394729430741</v>
      </c>
      <c r="O41" s="119">
        <f>+O6/'User Inputs'!$B23</f>
        <v>5.1605206855996117</v>
      </c>
      <c r="P41" s="119">
        <f>+P6/'User Inputs'!$B23</f>
        <v>3.600760972192</v>
      </c>
      <c r="Q41" s="119">
        <f>+Q6/'User Inputs'!$B23</f>
        <v>3.8040796486146422</v>
      </c>
      <c r="R41" s="119">
        <f>+R6/'User Inputs'!$B23</f>
        <v>3.6115486118193667</v>
      </c>
      <c r="S41" s="119">
        <f>+S6/'User Inputs'!$B23</f>
        <v>3.7030060576008146</v>
      </c>
      <c r="T41" s="119">
        <f>+T6/'User Inputs'!$B23</f>
        <v>3.7250909313266272</v>
      </c>
      <c r="U41" s="147" t="s">
        <v>138</v>
      </c>
      <c r="W41" s="119">
        <f>+W6/'User Inputs'!$B23</f>
        <v>6.0716633684145762</v>
      </c>
      <c r="X41" s="119">
        <f>+X6/'User Inputs'!$B23</f>
        <v>6.599470775367883</v>
      </c>
      <c r="Y41" s="119">
        <f>+Y6/'User Inputs'!$B23</f>
        <v>8.2322402624685385</v>
      </c>
      <c r="Z41" s="119">
        <f>+Z6/'User Inputs'!$B23</f>
        <v>5.0274977193175889</v>
      </c>
      <c r="AA41" s="119">
        <f>+AA6/'User Inputs'!$B23</f>
        <v>7.2556411576523079</v>
      </c>
      <c r="AB41" s="119">
        <f>+AB6/'User Inputs'!$B23</f>
        <v>5.953984593654023</v>
      </c>
      <c r="AC41" s="119">
        <f>+AC6/'User Inputs'!$B23</f>
        <v>10.151600351333306</v>
      </c>
      <c r="AD41" s="119">
        <f>+AD6/'User Inputs'!$B23</f>
        <v>9.9143194347431916</v>
      </c>
    </row>
    <row r="50" ht="32.25" customHeight="1" x14ac:dyDescent="0.25"/>
    <row r="51" ht="25.5" customHeight="1" x14ac:dyDescent="0.25"/>
  </sheetData>
  <sheetProtection password="EF95" sheet="1" objects="1" scenarios="1"/>
  <mergeCells count="3">
    <mergeCell ref="A31:B31"/>
    <mergeCell ref="K31:L31"/>
    <mergeCell ref="U31:V31"/>
  </mergeCells>
  <pageMargins left="0.25" right="0.25" top="0.75" bottom="0.75" header="0.3" footer="0.3"/>
  <pageSetup orientation="landscape" r:id="rId1"/>
  <headerFooter>
    <oddHeader xml:space="preserve">&amp;CTotal Cost Years 1 to 25
</oddHeader>
    <oddFooter>&amp;C&amp;D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89"/>
  <sheetViews>
    <sheetView view="pageLayout" zoomScale="85" zoomScaleNormal="100" zoomScalePageLayoutView="85" workbookViewId="0"/>
  </sheetViews>
  <sheetFormatPr defaultRowHeight="15" x14ac:dyDescent="0.25"/>
  <cols>
    <col min="1" max="1" width="17.140625" customWidth="1"/>
    <col min="2" max="2" width="12.7109375" customWidth="1"/>
    <col min="3" max="3" width="17.42578125" customWidth="1"/>
    <col min="4" max="4" width="12.7109375" customWidth="1"/>
    <col min="5" max="6" width="12.85546875" customWidth="1"/>
    <col min="7" max="7" width="12.5703125" customWidth="1"/>
    <col min="8" max="9" width="12.7109375" customWidth="1"/>
    <col min="10" max="10" width="10.5703125" customWidth="1"/>
    <col min="11" max="11" width="19.7109375" customWidth="1"/>
    <col min="12" max="12" width="12.5703125" customWidth="1"/>
    <col min="13" max="13" width="13.140625" customWidth="1"/>
    <col min="14" max="14" width="13.28515625" customWidth="1"/>
    <col min="15" max="15" width="12.5703125" customWidth="1"/>
    <col min="16" max="19" width="12.7109375" customWidth="1"/>
    <col min="20" max="20" width="12.5703125" customWidth="1"/>
    <col min="21" max="21" width="27" customWidth="1"/>
    <col min="22" max="24" width="13" customWidth="1"/>
    <col min="25" max="25" width="13.28515625" customWidth="1"/>
    <col min="26" max="27" width="13" customWidth="1"/>
    <col min="28" max="28" width="14.5703125" bestFit="1" customWidth="1"/>
    <col min="29" max="29" width="14" customWidth="1"/>
    <col min="30" max="30" width="30.28515625" customWidth="1"/>
    <col min="31" max="32" width="12.7109375" customWidth="1"/>
    <col min="33" max="33" width="14.28515625" bestFit="1" customWidth="1"/>
    <col min="34" max="35" width="12.5703125" customWidth="1"/>
    <col min="36" max="36" width="13.140625" customWidth="1"/>
    <col min="37" max="38" width="12.5703125" customWidth="1"/>
  </cols>
  <sheetData>
    <row r="1" spans="1:38" x14ac:dyDescent="0.25">
      <c r="K1" s="281" t="s">
        <v>98</v>
      </c>
    </row>
    <row r="2" spans="1:38" ht="30" x14ac:dyDescent="0.25">
      <c r="L2" s="194" t="str">
        <f>'Pax Service Overview'!B1</f>
        <v>12-30 Pax Skiff</v>
      </c>
      <c r="M2" s="194" t="str">
        <f>'Pax Service Overview'!C1</f>
        <v>31-50 Pax Pontoon</v>
      </c>
      <c r="N2" s="194" t="str">
        <f>'Pax Service Overview'!D1</f>
        <v>31-50 Pax Mono or Cat</v>
      </c>
      <c r="O2" s="194" t="str">
        <f>'Pax Service Overview'!E1</f>
        <v>51-100 Pax, &lt;20kt</v>
      </c>
      <c r="P2" s="194" t="str">
        <f>'Pax Service Overview'!F1</f>
        <v>51-100 Pax, &gt;20kt</v>
      </c>
      <c r="Q2" s="194" t="str">
        <f>'Pax Service Overview'!G1</f>
        <v>101-150 Pax, &lt;20kt</v>
      </c>
      <c r="R2" s="194" t="str">
        <f>'Pax Service Overview'!H1</f>
        <v>101-150 Pax, &gt;20kt</v>
      </c>
      <c r="S2" s="194" t="str">
        <f>'Pax Service Overview'!I1</f>
        <v>151-300 Pax</v>
      </c>
      <c r="T2" s="282" t="s">
        <v>81</v>
      </c>
      <c r="U2" s="281" t="s">
        <v>90</v>
      </c>
      <c r="V2" s="42" t="str">
        <f>L2</f>
        <v>12-30 Pax Skiff</v>
      </c>
      <c r="W2" s="42" t="str">
        <f t="shared" ref="W2:AC2" si="0">M2</f>
        <v>31-50 Pax Pontoon</v>
      </c>
      <c r="X2" s="42" t="str">
        <f t="shared" si="0"/>
        <v>31-50 Pax Mono or Cat</v>
      </c>
      <c r="Y2" s="42" t="str">
        <f t="shared" si="0"/>
        <v>51-100 Pax, &lt;20kt</v>
      </c>
      <c r="Z2" s="42" t="str">
        <f t="shared" si="0"/>
        <v>51-100 Pax, &gt;20kt</v>
      </c>
      <c r="AA2" s="42" t="str">
        <f t="shared" si="0"/>
        <v>101-150 Pax, &lt;20kt</v>
      </c>
      <c r="AB2" s="42" t="str">
        <f t="shared" si="0"/>
        <v>101-150 Pax, &gt;20kt</v>
      </c>
      <c r="AC2" s="42" t="str">
        <f t="shared" si="0"/>
        <v>151-300 Pax</v>
      </c>
      <c r="AD2" s="115" t="s">
        <v>91</v>
      </c>
      <c r="AE2" s="42" t="str">
        <f>V2</f>
        <v>12-30 Pax Skiff</v>
      </c>
      <c r="AF2" s="42" t="str">
        <f t="shared" ref="AF2" si="1">W2</f>
        <v>31-50 Pax Pontoon</v>
      </c>
      <c r="AG2" s="42" t="str">
        <f t="shared" ref="AG2" si="2">X2</f>
        <v>31-50 Pax Mono or Cat</v>
      </c>
      <c r="AH2" s="42" t="str">
        <f t="shared" ref="AH2" si="3">Y2</f>
        <v>51-100 Pax, &lt;20kt</v>
      </c>
      <c r="AI2" s="42" t="str">
        <f t="shared" ref="AI2" si="4">Z2</f>
        <v>51-100 Pax, &gt;20kt</v>
      </c>
      <c r="AJ2" s="42" t="str">
        <f t="shared" ref="AJ2" si="5">AA2</f>
        <v>101-150 Pax, &lt;20kt</v>
      </c>
      <c r="AK2" s="42" t="str">
        <f t="shared" ref="AK2" si="6">AB2</f>
        <v>101-150 Pax, &gt;20kt</v>
      </c>
      <c r="AL2" s="42" t="str">
        <f t="shared" ref="AL2" si="7">AC2</f>
        <v>151-300 Pax</v>
      </c>
    </row>
    <row r="3" spans="1:38" x14ac:dyDescent="0.25">
      <c r="K3" s="172" t="s">
        <v>212</v>
      </c>
      <c r="L3" s="45"/>
      <c r="M3" s="45"/>
      <c r="N3" s="45"/>
      <c r="O3" s="45"/>
      <c r="P3" s="45"/>
      <c r="Q3" s="45"/>
      <c r="R3" s="45"/>
      <c r="S3" s="45"/>
      <c r="T3" s="283"/>
      <c r="U3" s="172" t="s">
        <v>77</v>
      </c>
      <c r="V3" s="42"/>
      <c r="W3" s="42"/>
      <c r="X3" s="42"/>
      <c r="Y3" s="42"/>
      <c r="Z3" s="42"/>
      <c r="AA3" s="42"/>
      <c r="AB3" s="42"/>
      <c r="AC3" s="42"/>
      <c r="AD3" s="172" t="s">
        <v>77</v>
      </c>
      <c r="AE3" s="42"/>
      <c r="AF3" s="42"/>
      <c r="AG3" s="42"/>
      <c r="AH3" s="42"/>
      <c r="AI3" s="42"/>
      <c r="AJ3" s="42"/>
      <c r="AK3" s="42"/>
      <c r="AL3" s="42"/>
    </row>
    <row r="4" spans="1:38" ht="24.75" x14ac:dyDescent="0.25">
      <c r="K4" s="289" t="s">
        <v>213</v>
      </c>
      <c r="L4" s="174">
        <f>IF('User Inputs'!$E16="Yes",'Pax Service Overview'!B11+1,'Pax Service Overview'!B11)</f>
        <v>12</v>
      </c>
      <c r="M4" s="174">
        <f>IF('User Inputs'!$E16="Yes",'Pax Service Overview'!C11+1,'Pax Service Overview'!C11)</f>
        <v>8</v>
      </c>
      <c r="N4" s="174">
        <f>IF('User Inputs'!$E16="Yes",'Pax Service Overview'!D11+1,'Pax Service Overview'!D11)</f>
        <v>8</v>
      </c>
      <c r="O4" s="174">
        <f>IF('User Inputs'!$E16="Yes",'Pax Service Overview'!E11+1,'Pax Service Overview'!E11)</f>
        <v>5</v>
      </c>
      <c r="P4" s="174">
        <f>IF('User Inputs'!$E16="Yes",'Pax Service Overview'!F11+1,'Pax Service Overview'!F11)</f>
        <v>4</v>
      </c>
      <c r="Q4" s="174">
        <f>IF('User Inputs'!$E16="Yes",'Pax Service Overview'!G11+1,'Pax Service Overview'!G11)</f>
        <v>4</v>
      </c>
      <c r="R4" s="174">
        <f>IF('User Inputs'!$E16="Yes",'Pax Service Overview'!H11+1,'Pax Service Overview'!H11)</f>
        <v>3</v>
      </c>
      <c r="S4" s="174">
        <f>IF('User Inputs'!$E16="Yes",'Pax Service Overview'!I11+1,'Pax Service Overview'!I11)</f>
        <v>2</v>
      </c>
      <c r="T4" s="284">
        <f>SUM(Manual!B6:I6,Manual!B4:I4)</f>
        <v>8</v>
      </c>
      <c r="U4" s="289" t="s">
        <v>213</v>
      </c>
      <c r="V4" s="174"/>
      <c r="W4" s="174"/>
      <c r="X4" s="174"/>
      <c r="Y4" s="174"/>
      <c r="Z4" s="174"/>
      <c r="AA4" s="174"/>
      <c r="AB4" s="174"/>
      <c r="AC4" s="174"/>
      <c r="AD4" s="173" t="s">
        <v>55</v>
      </c>
      <c r="AE4" s="360"/>
      <c r="AF4" s="360"/>
      <c r="AG4" s="360"/>
      <c r="AH4" s="360"/>
      <c r="AI4" s="360"/>
      <c r="AJ4" s="360"/>
      <c r="AK4" s="360"/>
      <c r="AL4" s="360"/>
    </row>
    <row r="5" spans="1:38" x14ac:dyDescent="0.25">
      <c r="K5" s="289" t="s">
        <v>76</v>
      </c>
      <c r="L5" s="174">
        <f>'Pax Service Overview'!B3</f>
        <v>20</v>
      </c>
      <c r="M5" s="174">
        <f>'Pax Service Overview'!C3</f>
        <v>14.4</v>
      </c>
      <c r="N5" s="174">
        <f>'Pax Service Overview'!D3</f>
        <v>16</v>
      </c>
      <c r="O5" s="174">
        <f>'Pax Service Overview'!E3</f>
        <v>12.8</v>
      </c>
      <c r="P5" s="174">
        <f>'Pax Service Overview'!F3</f>
        <v>22.400000000000002</v>
      </c>
      <c r="Q5" s="174">
        <f>'Pax Service Overview'!G3</f>
        <v>14.4</v>
      </c>
      <c r="R5" s="174">
        <f>'Pax Service Overview'!H3</f>
        <v>22.400000000000002</v>
      </c>
      <c r="S5" s="174">
        <f>'Pax Service Overview'!I3</f>
        <v>20.8</v>
      </c>
      <c r="T5" s="430" t="s">
        <v>214</v>
      </c>
      <c r="U5" s="173" t="s">
        <v>76</v>
      </c>
      <c r="V5" s="174"/>
      <c r="W5" s="174"/>
      <c r="X5" s="174"/>
      <c r="Y5" s="174"/>
      <c r="Z5" s="174"/>
      <c r="AA5" s="174"/>
      <c r="AB5" s="174"/>
      <c r="AC5" s="174"/>
      <c r="AD5" s="173" t="s">
        <v>76</v>
      </c>
      <c r="AE5" s="360"/>
      <c r="AF5" s="360"/>
      <c r="AG5" s="360"/>
      <c r="AH5" s="360"/>
      <c r="AI5" s="360"/>
      <c r="AJ5" s="360"/>
      <c r="AK5" s="360"/>
      <c r="AL5" s="360"/>
    </row>
    <row r="6" spans="1:38" x14ac:dyDescent="0.25">
      <c r="K6" s="289" t="s">
        <v>8</v>
      </c>
      <c r="L6" s="174">
        <f>'Pax Service Overview'!B9</f>
        <v>60</v>
      </c>
      <c r="M6" s="174">
        <f>'Pax Service Overview'!C9</f>
        <v>63.5</v>
      </c>
      <c r="N6" s="174">
        <f>'Pax Service Overview'!D9</f>
        <v>62.250000000000007</v>
      </c>
      <c r="O6" s="174">
        <f>'Pax Service Overview'!E9</f>
        <v>65.0625</v>
      </c>
      <c r="P6" s="174">
        <f>'Pax Service Overview'!F9</f>
        <v>59.035714285714285</v>
      </c>
      <c r="Q6" s="174">
        <f>'Pax Service Overview'!G9</f>
        <v>63.5</v>
      </c>
      <c r="R6" s="174">
        <f>'Pax Service Overview'!H9</f>
        <v>59.035714285714285</v>
      </c>
      <c r="S6" s="174">
        <f>'Pax Service Overview'!I9</f>
        <v>59.653846153846153</v>
      </c>
      <c r="T6" s="430"/>
      <c r="U6" s="173" t="s">
        <v>8</v>
      </c>
      <c r="V6" s="174"/>
      <c r="W6" s="174"/>
      <c r="X6" s="174"/>
      <c r="Y6" s="174"/>
      <c r="Z6" s="174"/>
      <c r="AA6" s="174"/>
      <c r="AB6" s="174"/>
      <c r="AC6" s="174"/>
      <c r="AD6" s="173" t="s">
        <v>8</v>
      </c>
      <c r="AE6" s="360"/>
      <c r="AF6" s="360"/>
      <c r="AG6" s="360"/>
      <c r="AH6" s="360"/>
      <c r="AI6" s="360"/>
      <c r="AJ6" s="360"/>
      <c r="AK6" s="360"/>
      <c r="AL6" s="360"/>
    </row>
    <row r="7" spans="1:38" ht="24.75" x14ac:dyDescent="0.25">
      <c r="K7" s="289" t="s">
        <v>209</v>
      </c>
      <c r="L7" s="174">
        <f>'Pax Service Overview'!B22</f>
        <v>5.4545454545454541</v>
      </c>
      <c r="M7" s="174">
        <f>'Pax Service Overview'!C22</f>
        <v>9.0714285714285712</v>
      </c>
      <c r="N7" s="174">
        <f>'Pax Service Overview'!D22</f>
        <v>8.8928571428571441</v>
      </c>
      <c r="O7" s="174">
        <f>'Pax Service Overview'!E22</f>
        <v>16.265625</v>
      </c>
      <c r="P7" s="174">
        <f>'Pax Service Overview'!F22</f>
        <v>19.678571428571427</v>
      </c>
      <c r="Q7" s="174">
        <f>'Pax Service Overview'!G22</f>
        <v>21.166666666666668</v>
      </c>
      <c r="R7" s="174">
        <f>'Pax Service Overview'!H22</f>
        <v>29.517857142857142</v>
      </c>
      <c r="S7" s="174">
        <f>'Pax Service Overview'!I22</f>
        <v>59.653846153846153</v>
      </c>
      <c r="T7" s="430"/>
      <c r="U7" s="173" t="s">
        <v>12</v>
      </c>
      <c r="V7" s="174"/>
      <c r="W7" s="174"/>
      <c r="X7" s="174"/>
      <c r="Y7" s="174"/>
      <c r="Z7" s="174"/>
      <c r="AA7" s="174"/>
      <c r="AB7" s="174"/>
      <c r="AC7" s="174"/>
      <c r="AD7" s="173" t="s">
        <v>12</v>
      </c>
      <c r="AE7" s="360"/>
      <c r="AF7" s="360"/>
      <c r="AG7" s="360"/>
      <c r="AH7" s="360"/>
      <c r="AI7" s="360"/>
      <c r="AJ7" s="360"/>
      <c r="AK7" s="360"/>
      <c r="AL7" s="360"/>
    </row>
    <row r="8" spans="1:38" ht="24.75" x14ac:dyDescent="0.25">
      <c r="K8" s="290" t="s">
        <v>210</v>
      </c>
      <c r="L8" s="174">
        <f>'Pax Service Overview'!B41</f>
        <v>30</v>
      </c>
      <c r="M8" s="174">
        <f>'Pax Service Overview'!C41</f>
        <v>31.75</v>
      </c>
      <c r="N8" s="174">
        <f>'Pax Service Overview'!D41</f>
        <v>31.125000000000004</v>
      </c>
      <c r="O8" s="174">
        <f>'Pax Service Overview'!E41</f>
        <v>65.0625</v>
      </c>
      <c r="P8" s="174">
        <f>'Pax Service Overview'!F41</f>
        <v>59.035714285714285</v>
      </c>
      <c r="Q8" s="174">
        <f>'Pax Service Overview'!G41</f>
        <v>63.5</v>
      </c>
      <c r="R8" s="174">
        <f>'Pax Service Overview'!H41</f>
        <v>59.035714285714285</v>
      </c>
      <c r="S8" s="174">
        <f>'Pax Service Overview'!I41</f>
        <v>59.653846153846153</v>
      </c>
      <c r="T8" s="430"/>
      <c r="U8" s="272"/>
      <c r="V8" s="174"/>
      <c r="W8" s="174"/>
      <c r="X8" s="174"/>
      <c r="Y8" s="174"/>
      <c r="Z8" s="174"/>
      <c r="AA8" s="174"/>
      <c r="AB8" s="174"/>
      <c r="AC8" s="174"/>
      <c r="AD8" s="272"/>
      <c r="AE8" s="360"/>
      <c r="AF8" s="360"/>
      <c r="AG8" s="360"/>
      <c r="AH8" s="360"/>
      <c r="AI8" s="360"/>
      <c r="AJ8" s="360"/>
      <c r="AK8" s="360"/>
      <c r="AL8" s="360"/>
    </row>
    <row r="9" spans="1:38" x14ac:dyDescent="0.25">
      <c r="K9" s="291" t="s">
        <v>168</v>
      </c>
      <c r="L9" s="174"/>
      <c r="M9" s="174"/>
      <c r="N9" s="174"/>
      <c r="O9" s="174"/>
      <c r="P9" s="174"/>
      <c r="Q9" s="174"/>
      <c r="R9" s="174"/>
      <c r="S9" s="174"/>
      <c r="T9" s="431"/>
      <c r="U9" s="172" t="s">
        <v>168</v>
      </c>
      <c r="V9" s="174"/>
      <c r="W9" s="174"/>
      <c r="X9" s="174"/>
      <c r="Y9" s="174"/>
      <c r="Z9" s="174"/>
      <c r="AA9" s="174"/>
      <c r="AB9" s="174"/>
      <c r="AC9" s="174"/>
      <c r="AD9" s="172" t="s">
        <v>168</v>
      </c>
      <c r="AE9" s="360"/>
      <c r="AF9" s="360"/>
      <c r="AG9" s="360"/>
      <c r="AH9" s="360"/>
      <c r="AI9" s="360"/>
      <c r="AJ9" s="360"/>
      <c r="AK9" s="360"/>
      <c r="AL9" s="360"/>
    </row>
    <row r="10" spans="1:38" ht="24.75" x14ac:dyDescent="0.25">
      <c r="K10" s="289" t="s">
        <v>78</v>
      </c>
      <c r="L10" s="175">
        <f>ROUND('Pax Capital'!C6,-4)</f>
        <v>160000</v>
      </c>
      <c r="M10" s="175">
        <f>ROUND('Pax Capital'!D6,-4)</f>
        <v>330000</v>
      </c>
      <c r="N10" s="175">
        <f>ROUND('Pax Capital'!E6,-4)</f>
        <v>480000</v>
      </c>
      <c r="O10" s="175">
        <f>ROUND('Pax Capital'!F6,-4)</f>
        <v>510000</v>
      </c>
      <c r="P10" s="175">
        <f>ROUND('Pax Capital'!G6,-4)</f>
        <v>1430000</v>
      </c>
      <c r="Q10" s="175">
        <f>ROUND('Pax Capital'!H6,-4)</f>
        <v>910000</v>
      </c>
      <c r="R10" s="175">
        <f>ROUND('Pax Capital'!I6,-4)</f>
        <v>3600000</v>
      </c>
      <c r="S10" s="175">
        <f>ROUND('Pax Capital'!J6,-4)</f>
        <v>5060000</v>
      </c>
      <c r="T10" s="288"/>
      <c r="U10" s="173" t="s">
        <v>78</v>
      </c>
      <c r="V10" s="175">
        <f>ROUND('Pax Service Overview'!B6, -3)</f>
        <v>73000</v>
      </c>
      <c r="W10" s="175">
        <f>ROUND('Pax Service Overview'!C6, -3)</f>
        <v>163000</v>
      </c>
      <c r="X10" s="175">
        <f>ROUND('Pax Service Overview'!D6, -3)</f>
        <v>147000</v>
      </c>
      <c r="Y10" s="175">
        <f>ROUND('Pax Service Overview'!E6, -3)</f>
        <v>184000</v>
      </c>
      <c r="Z10" s="175">
        <f>ROUND('Pax Service Overview'!F6, -3)</f>
        <v>367000</v>
      </c>
      <c r="AA10" s="175">
        <f>ROUND('Pax Service Overview'!G6, -3)</f>
        <v>326000</v>
      </c>
      <c r="AB10" s="175">
        <f>ROUND('Pax Service Overview'!H6, -3)</f>
        <v>571000</v>
      </c>
      <c r="AC10" s="175">
        <f>ROUND('Pax Service Overview'!I6, -3)</f>
        <v>669000</v>
      </c>
      <c r="AD10" s="173" t="s">
        <v>78</v>
      </c>
      <c r="AE10" s="139">
        <f>ROUND('Pax Service Overview'!B7,-3)</f>
        <v>245000</v>
      </c>
      <c r="AF10" s="139">
        <f>ROUND('Pax Service Overview'!C7,-3)</f>
        <v>490000</v>
      </c>
      <c r="AG10" s="139">
        <f>ROUND('Pax Service Overview'!D7,-3)</f>
        <v>808000</v>
      </c>
      <c r="AH10" s="139">
        <f>ROUND('Pax Service Overview'!E7,-3)</f>
        <v>816000</v>
      </c>
      <c r="AI10" s="420">
        <f>ROUND('Pax Service Overview'!F7,-3)</f>
        <v>2448000</v>
      </c>
      <c r="AJ10" s="139">
        <f>ROUND('Pax Service Overview'!G7,-3)</f>
        <v>1469000</v>
      </c>
      <c r="AK10" s="420">
        <f>ROUND('Pax Service Overview'!H7,-3)</f>
        <v>6528000</v>
      </c>
      <c r="AL10" s="420">
        <f>ROUND('Pax Service Overview'!I7,-3)</f>
        <v>9302000</v>
      </c>
    </row>
    <row r="11" spans="1:38" x14ac:dyDescent="0.25">
      <c r="K11" s="296" t="s">
        <v>187</v>
      </c>
      <c r="L11" s="175">
        <f>'Pax Total Cost'!C5</f>
        <v>133541.37931034484</v>
      </c>
      <c r="M11" s="175">
        <f>'Pax Total Cost'!D5</f>
        <v>185632.98969072165</v>
      </c>
      <c r="N11" s="175">
        <f>'Pax Total Cost'!E5</f>
        <v>271488.24742268043</v>
      </c>
      <c r="O11" s="175">
        <f>'Pax Total Cost'!F5</f>
        <v>179981.25</v>
      </c>
      <c r="P11" s="175">
        <f>'Pax Total Cost'!G5</f>
        <v>404440.625</v>
      </c>
      <c r="Q11" s="175">
        <f>'Pax Total Cost'!H5</f>
        <v>257904.16666666672</v>
      </c>
      <c r="R11" s="175">
        <f>'Pax Total Cost'!I5</f>
        <v>778694.38775510213</v>
      </c>
      <c r="S11" s="175">
        <f>'Pax Total Cost'!J5</f>
        <v>784199.79591836734</v>
      </c>
      <c r="T11" s="286">
        <f>'Manual Capital'!C7</f>
        <v>287211.45833333337</v>
      </c>
      <c r="U11" s="53" t="s">
        <v>160</v>
      </c>
      <c r="V11" s="175">
        <f>'Pax Total Cost'!M5</f>
        <v>61634.482758620696</v>
      </c>
      <c r="W11" s="175">
        <f>'Pax Total Cost'!N5</f>
        <v>92816.494845360823</v>
      </c>
      <c r="X11" s="175">
        <f>'Pax Total Cost'!O5</f>
        <v>83534.845360824736</v>
      </c>
      <c r="Y11" s="175">
        <f>'Pax Total Cost'!P5</f>
        <v>66115.561224489793</v>
      </c>
      <c r="Z11" s="175">
        <f>'Pax Total Cost'!Q5</f>
        <v>105506.25</v>
      </c>
      <c r="AA11" s="175">
        <f>'Pax Total Cost'!R5</f>
        <v>93783.333333333343</v>
      </c>
      <c r="AB11" s="175">
        <f>'Pax Total Cost'!S5</f>
        <v>125307.14285714287</v>
      </c>
      <c r="AC11" s="175">
        <f>'Pax Total Cost'!T5</f>
        <v>105244.48979591837</v>
      </c>
      <c r="AD11" s="53" t="s">
        <v>160</v>
      </c>
      <c r="AE11" s="56">
        <f>'Pax Total Cost'!W5</f>
        <v>205448.27586206899</v>
      </c>
      <c r="AF11" s="56">
        <f>'Pax Total Cost'!X5</f>
        <v>278449.48453608243</v>
      </c>
      <c r="AG11" s="56">
        <f>'Pax Total Cost'!Y5</f>
        <v>459441.64948453609</v>
      </c>
      <c r="AH11" s="56">
        <f>'Pax Total Cost'!Z5</f>
        <v>293846.93877551024</v>
      </c>
      <c r="AI11" s="56">
        <f>'Pax Total Cost'!AA5</f>
        <v>703375</v>
      </c>
      <c r="AJ11" s="56">
        <f>'Pax Total Cost'!AB5</f>
        <v>422025</v>
      </c>
      <c r="AK11" s="56">
        <f>'Pax Total Cost'!AC5</f>
        <v>1432081.6326530613</v>
      </c>
      <c r="AL11" s="56">
        <f>'Pax Total Cost'!AD5</f>
        <v>1463155.1020408163</v>
      </c>
    </row>
    <row r="12" spans="1:38" x14ac:dyDescent="0.25">
      <c r="K12" s="296" t="s">
        <v>211</v>
      </c>
      <c r="L12" s="175">
        <f>ROUND('Pax Capital'!C12,-2)</f>
        <v>47700</v>
      </c>
      <c r="M12" s="175">
        <f>ROUND('Pax Capital'!D12,-2)</f>
        <v>65600</v>
      </c>
      <c r="N12" s="175">
        <f>ROUND('Pax Capital'!E12,-2)</f>
        <v>95200</v>
      </c>
      <c r="O12" s="175">
        <f>ROUND('Pax Capital'!F12,-2)</f>
        <v>63700</v>
      </c>
      <c r="P12" s="175">
        <f>ROUND('Pax Capital'!G12,-2)</f>
        <v>140900</v>
      </c>
      <c r="Q12" s="175">
        <f>ROUND('Pax Capital'!H12,-2)</f>
        <v>90500</v>
      </c>
      <c r="R12" s="175">
        <f>ROUND('Pax Capital'!I12,-2)</f>
        <v>269600</v>
      </c>
      <c r="S12" s="175">
        <f>ROUND('Pax Capital'!J12,-2)</f>
        <v>271500</v>
      </c>
      <c r="T12" s="286">
        <f>'Manual Capital'!C10</f>
        <v>100578.82493937355</v>
      </c>
      <c r="U12" s="53" t="s">
        <v>161</v>
      </c>
      <c r="V12" s="175">
        <f>'Pax Capital'!M12</f>
        <v>23005.856277312174</v>
      </c>
      <c r="W12" s="175">
        <f>'Pax Capital'!N12</f>
        <v>33728.942001207608</v>
      </c>
      <c r="X12" s="175">
        <f>'Pax Capital'!O12</f>
        <v>30537.104258185449</v>
      </c>
      <c r="Y12" s="175">
        <f>'Pax Capital'!P12</f>
        <v>24546.840495756802</v>
      </c>
      <c r="Z12" s="175">
        <f>'Pax Capital'!Q12</f>
        <v>38092.782665495717</v>
      </c>
      <c r="AA12" s="175">
        <f>'Pax Capital'!R12</f>
        <v>34061.42509943909</v>
      </c>
      <c r="AB12" s="175">
        <f>'Pax Capital'!S12</f>
        <v>44902.050487154404</v>
      </c>
      <c r="AC12" s="175">
        <f>'Pax Capital'!T12</f>
        <v>38002.76675825844</v>
      </c>
      <c r="AD12" s="53" t="s">
        <v>161</v>
      </c>
      <c r="AE12" s="56">
        <f>'Pax Capital'!W12</f>
        <v>72461.53692540653</v>
      </c>
      <c r="AF12" s="56">
        <f>'Pax Capital'!X12</f>
        <v>97565.69686165078</v>
      </c>
      <c r="AG12" s="56">
        <f>'Pax Capital'!Y12</f>
        <v>159806.53285058288</v>
      </c>
      <c r="AH12" s="56">
        <f>'Pax Capital'!Z12</f>
        <v>102860.67979218948</v>
      </c>
      <c r="AI12" s="56">
        <f>'Pax Capital'!AA12</f>
        <v>243692.01853438403</v>
      </c>
      <c r="AJ12" s="56">
        <f>'Pax Capital'!AB12</f>
        <v>146939.43694902482</v>
      </c>
      <c r="AK12" s="56">
        <f>'Pax Capital'!AC12</f>
        <v>494284.6893271961</v>
      </c>
      <c r="AL12" s="56">
        <f>'Pax Capital'!AD12</f>
        <v>504970.44863794406</v>
      </c>
    </row>
    <row r="13" spans="1:38" x14ac:dyDescent="0.25">
      <c r="K13" s="53" t="s">
        <v>158</v>
      </c>
      <c r="L13" s="56">
        <f>'Pax Total Cost'!C36</f>
        <v>20417000</v>
      </c>
      <c r="M13" s="56">
        <f>'Pax Total Cost'!D36</f>
        <v>23359000</v>
      </c>
      <c r="N13" s="56">
        <f>'Pax Total Cost'!E36</f>
        <v>26384000</v>
      </c>
      <c r="O13" s="56">
        <f>'Pax Total Cost'!F36</f>
        <v>15319000</v>
      </c>
      <c r="P13" s="56">
        <f>'Pax Total Cost'!G36</f>
        <v>18843000</v>
      </c>
      <c r="Q13" s="56">
        <f>'Pax Total Cost'!H36</f>
        <v>19111000</v>
      </c>
      <c r="R13" s="56">
        <f>'Pax Total Cost'!I36</f>
        <v>20925000</v>
      </c>
      <c r="S13" s="56">
        <f>'Pax Total Cost'!J36</f>
        <v>23349000</v>
      </c>
      <c r="T13" s="286">
        <f>'Manual Total'!F15</f>
        <v>30637000</v>
      </c>
      <c r="U13" s="53" t="s">
        <v>158</v>
      </c>
      <c r="V13" s="56">
        <f>'Pax Total Cost'!M36</f>
        <v>20841000</v>
      </c>
      <c r="W13" s="56">
        <f>'Pax Total Cost'!N36</f>
        <v>22413000</v>
      </c>
      <c r="X13" s="56">
        <f>'Pax Total Cost'!O36</f>
        <v>24454000</v>
      </c>
      <c r="Y13" s="56">
        <f>'Pax Total Cost'!P36</f>
        <v>14390000</v>
      </c>
      <c r="Z13" s="56">
        <f>'Pax Total Cost'!Q36</f>
        <v>16622000</v>
      </c>
      <c r="AA13" s="56">
        <f>'Pax Total Cost'!R36</f>
        <v>14815000</v>
      </c>
      <c r="AB13" s="56">
        <f>'Pax Total Cost'!S36</f>
        <v>17802000</v>
      </c>
      <c r="AC13" s="56">
        <f>'Pax Total Cost'!T36</f>
        <v>18864000</v>
      </c>
      <c r="AD13" s="53" t="s">
        <v>158</v>
      </c>
      <c r="AE13" s="56">
        <f>'Pax Total Cost'!W36</f>
        <v>19992000</v>
      </c>
      <c r="AF13" s="56">
        <f>'Pax Total Cost'!X36</f>
        <v>24305000</v>
      </c>
      <c r="AG13" s="56">
        <f>'Pax Total Cost'!Y36</f>
        <v>28313000</v>
      </c>
      <c r="AH13" s="56">
        <f>'Pax Total Cost'!Z36</f>
        <v>16247000</v>
      </c>
      <c r="AI13" s="56">
        <f>'Pax Total Cost'!AA36</f>
        <v>21063000</v>
      </c>
      <c r="AJ13" s="56">
        <f>'Pax Total Cost'!AB36</f>
        <v>23408000</v>
      </c>
      <c r="AK13" s="56">
        <f>'Pax Total Cost'!AC36</f>
        <v>24048000</v>
      </c>
      <c r="AL13" s="56">
        <f>'Pax Total Cost'!AD36</f>
        <v>27835000</v>
      </c>
    </row>
    <row r="14" spans="1:38" x14ac:dyDescent="0.25">
      <c r="K14" s="179" t="s">
        <v>159</v>
      </c>
      <c r="L14" s="56">
        <f>'Pax Total Cost'!C37</f>
        <v>9686000</v>
      </c>
      <c r="M14" s="56">
        <f>'Pax Total Cost'!D37</f>
        <v>9438000</v>
      </c>
      <c r="N14" s="56">
        <f>'Pax Total Cost'!E37</f>
        <v>11518000</v>
      </c>
      <c r="O14" s="56">
        <f>'Pax Total Cost'!F37</f>
        <v>7519000</v>
      </c>
      <c r="P14" s="56">
        <f>'Pax Total Cost'!G37</f>
        <v>9694000</v>
      </c>
      <c r="Q14" s="56">
        <f>'Pax Total Cost'!H37</f>
        <v>7972000</v>
      </c>
      <c r="R14" s="56">
        <f>'Pax Total Cost'!I37</f>
        <v>11241000</v>
      </c>
      <c r="S14" s="56">
        <f>'Pax Total Cost'!J37</f>
        <v>9006000</v>
      </c>
      <c r="T14" s="286">
        <f>'Manual Total'!F16</f>
        <v>12053000</v>
      </c>
      <c r="U14" s="53" t="s">
        <v>159</v>
      </c>
      <c r="V14" s="56">
        <f>'Pax Total Cost'!M37</f>
        <v>7131000</v>
      </c>
      <c r="W14" s="56">
        <f>'Pax Total Cost'!N37</f>
        <v>7189000</v>
      </c>
      <c r="X14" s="56">
        <f>'Pax Total Cost'!O37</f>
        <v>6964000</v>
      </c>
      <c r="Y14" s="56">
        <f>'Pax Total Cost'!P37</f>
        <v>5888000</v>
      </c>
      <c r="Z14" s="56">
        <f>'Pax Total Cost'!Q37</f>
        <v>6180000</v>
      </c>
      <c r="AA14" s="56">
        <f>'Pax Total Cost'!R37</f>
        <v>6043000</v>
      </c>
      <c r="AB14" s="56">
        <f>'Pax Total Cost'!S37</f>
        <v>5954000</v>
      </c>
      <c r="AC14" s="56">
        <f>'Pax Total Cost'!T37</f>
        <v>5486000</v>
      </c>
      <c r="AD14" s="53" t="s">
        <v>159</v>
      </c>
      <c r="AE14" s="56">
        <f>'Pax Total Cost'!W37</f>
        <v>12241000</v>
      </c>
      <c r="AF14" s="56">
        <f>'Pax Total Cost'!X37</f>
        <v>11687000</v>
      </c>
      <c r="AG14" s="56">
        <f>'Pax Total Cost'!Y37</f>
        <v>16072000</v>
      </c>
      <c r="AH14" s="56">
        <f>'Pax Total Cost'!Z37</f>
        <v>9151000</v>
      </c>
      <c r="AI14" s="56">
        <f>'Pax Total Cost'!AA37</f>
        <v>13208000</v>
      </c>
      <c r="AJ14" s="56">
        <f>'Pax Total Cost'!AB37</f>
        <v>9901000</v>
      </c>
      <c r="AK14" s="56">
        <f>'Pax Total Cost'!AC37</f>
        <v>16527000</v>
      </c>
      <c r="AL14" s="56">
        <f>'Pax Total Cost'!AD37</f>
        <v>12526000</v>
      </c>
    </row>
    <row r="15" spans="1:38" x14ac:dyDescent="0.25">
      <c r="K15" s="53" t="s">
        <v>162</v>
      </c>
      <c r="L15" s="56">
        <f>'Pax Total Cost'!C38</f>
        <v>2002000</v>
      </c>
      <c r="M15" s="56">
        <f>'Pax Total Cost'!D38</f>
        <v>2169000</v>
      </c>
      <c r="N15" s="56">
        <f>'Pax Total Cost'!E38</f>
        <v>2444000</v>
      </c>
      <c r="O15" s="56">
        <f>'Pax Total Cost'!F38</f>
        <v>2150000</v>
      </c>
      <c r="P15" s="56">
        <f>'Pax Total Cost'!G38</f>
        <v>2869000</v>
      </c>
      <c r="Q15" s="56">
        <f>'Pax Total Cost'!H38</f>
        <v>2400000</v>
      </c>
      <c r="R15" s="56">
        <f>'Pax Total Cost'!I38</f>
        <v>4068000</v>
      </c>
      <c r="S15" s="56">
        <f>'Pax Total Cost'!J38</f>
        <v>4086000</v>
      </c>
      <c r="T15" s="286">
        <f>'Manual Total'!F17</f>
        <v>2494000</v>
      </c>
      <c r="U15" s="53" t="s">
        <v>162</v>
      </c>
      <c r="V15" s="56">
        <f>'Pax Total Cost'!M38</f>
        <v>1771000</v>
      </c>
      <c r="W15" s="56">
        <f>'Pax Total Cost'!N38</f>
        <v>1871000</v>
      </c>
      <c r="X15" s="56">
        <f>'Pax Total Cost'!O38</f>
        <v>1842000</v>
      </c>
      <c r="Y15" s="56">
        <f>'Pax Total Cost'!P38</f>
        <v>1786000</v>
      </c>
      <c r="Z15" s="56">
        <f>'Pax Total Cost'!Q38</f>
        <v>1912000</v>
      </c>
      <c r="AA15" s="56">
        <f>'Pax Total Cost'!R38</f>
        <v>1874000</v>
      </c>
      <c r="AB15" s="56">
        <f>'Pax Total Cost'!S38</f>
        <v>1975000</v>
      </c>
      <c r="AC15" s="56">
        <f>'Pax Total Cost'!T38</f>
        <v>1911000</v>
      </c>
      <c r="AD15" s="53" t="s">
        <v>162</v>
      </c>
      <c r="AE15" s="56">
        <f>'Pax Total Cost'!W38</f>
        <v>2232000</v>
      </c>
      <c r="AF15" s="56">
        <f>'Pax Total Cost'!X38</f>
        <v>2466000</v>
      </c>
      <c r="AG15" s="56">
        <f>'Pax Total Cost'!Y38</f>
        <v>3046000</v>
      </c>
      <c r="AH15" s="56">
        <f>'Pax Total Cost'!Z38</f>
        <v>2515000</v>
      </c>
      <c r="AI15" s="56">
        <f>'Pax Total Cost'!AA38</f>
        <v>3827000</v>
      </c>
      <c r="AJ15" s="56">
        <f>'Pax Total Cost'!AB38</f>
        <v>2926000</v>
      </c>
      <c r="AK15" s="56">
        <f>'Pax Total Cost'!AC38</f>
        <v>6161000</v>
      </c>
      <c r="AL15" s="56">
        <f>'Pax Total Cost'!AD38</f>
        <v>6260000</v>
      </c>
    </row>
    <row r="16" spans="1:38" ht="15.75" x14ac:dyDescent="0.25">
      <c r="A16" s="357" t="s">
        <v>282</v>
      </c>
      <c r="B16" s="362">
        <f>IF(B$36="Min",L4,IF(C$36="Min",M4,IF(D$36="Min",N4,IF(E$36="Min",O4,IF(F$36="Min",P4,IF(G$36="Min",Q4,IF(H$36="Min",R4,IF(I$36="Min",S4,T4))))))))</f>
        <v>5</v>
      </c>
      <c r="C16" s="359" t="str">
        <f>IF(B$36="Min",L2,IF(C$36="Min",M2,IF(D$36="Min",N2,IF(E$36="Min",O2,IF(F$36="Min",P2,IF(G$36="Min",Q2,IF(H$36="Min",R2,IF(I$36="Min",S2,T2))))))))</f>
        <v>51-100 Pax, &lt;20kt</v>
      </c>
      <c r="D16" s="359" t="s">
        <v>283</v>
      </c>
      <c r="F16" s="144" t="s">
        <v>289</v>
      </c>
      <c r="K16" s="293" t="s">
        <v>219</v>
      </c>
      <c r="L16" s="295">
        <f>ROUND('Pax Total Cost'!C39,-5)</f>
        <v>33200000</v>
      </c>
      <c r="M16" s="295">
        <f>ROUND('Pax Total Cost'!D39,-5)</f>
        <v>36500000</v>
      </c>
      <c r="N16" s="295">
        <f>ROUND('Pax Total Cost'!E39,-5)</f>
        <v>42500000</v>
      </c>
      <c r="O16" s="295">
        <f>ROUND('Pax Total Cost'!F39,-5)</f>
        <v>26400000</v>
      </c>
      <c r="P16" s="295">
        <f>ROUND('Pax Total Cost'!G39,-5)</f>
        <v>34600000</v>
      </c>
      <c r="Q16" s="295">
        <f>ROUND('Pax Total Cost'!H39,-5)</f>
        <v>31600000</v>
      </c>
      <c r="R16" s="295">
        <f>ROUND('Pax Total Cost'!I39,-5)</f>
        <v>42400000</v>
      </c>
      <c r="S16" s="295">
        <f>ROUND('Pax Total Cost'!J39,-5)</f>
        <v>42700000</v>
      </c>
      <c r="T16" s="288">
        <f>ROUND('Manual Total'!F18,-5)</f>
        <v>47500000</v>
      </c>
      <c r="U16" s="52" t="s">
        <v>94</v>
      </c>
      <c r="V16" s="47"/>
      <c r="W16" s="47"/>
      <c r="X16" s="47"/>
      <c r="Y16" s="47"/>
      <c r="Z16" s="47"/>
      <c r="AA16" s="47"/>
      <c r="AB16" s="47"/>
      <c r="AC16" s="47"/>
      <c r="AD16" s="52" t="s">
        <v>94</v>
      </c>
      <c r="AE16" s="47"/>
      <c r="AF16" s="47"/>
      <c r="AG16" s="47"/>
      <c r="AH16" s="47"/>
      <c r="AI16" s="47"/>
      <c r="AJ16" s="47"/>
      <c r="AK16" s="47"/>
      <c r="AL16" s="47"/>
    </row>
    <row r="17" spans="11:38" ht="24.75" x14ac:dyDescent="0.25">
      <c r="K17" s="293" t="s">
        <v>169</v>
      </c>
      <c r="L17" s="418">
        <f>ROUND('Pax Total Cost'!C40,-5)</f>
        <v>24100000</v>
      </c>
      <c r="M17" s="418">
        <f>ROUND('Pax Total Cost'!D40,-5)</f>
        <v>26400000</v>
      </c>
      <c r="N17" s="418">
        <f>ROUND('Pax Total Cost'!E40,-5)</f>
        <v>30700000</v>
      </c>
      <c r="O17" s="418">
        <f>ROUND('Pax Total Cost'!F40,-5)</f>
        <v>19100000</v>
      </c>
      <c r="P17" s="418">
        <f>ROUND('Pax Total Cost'!G40,-5)</f>
        <v>24900000</v>
      </c>
      <c r="Q17" s="418">
        <f>ROUND('Pax Total Cost'!H40,-5)</f>
        <v>22700000</v>
      </c>
      <c r="R17" s="418">
        <f>ROUND('Pax Total Cost'!I40,-5)</f>
        <v>30200000</v>
      </c>
      <c r="S17" s="418">
        <f>ROUND('Pax Total Cost'!J40,-5)</f>
        <v>30400000</v>
      </c>
      <c r="T17" s="419">
        <f>ROUND('Manual Total'!F29,-5)</f>
        <v>34200000</v>
      </c>
      <c r="U17" s="80" t="s">
        <v>100</v>
      </c>
      <c r="V17" s="418">
        <f>ROUND('Pax Total Cost'!M40,-5)</f>
        <v>22000000</v>
      </c>
      <c r="W17" s="418">
        <f>ROUND('Pax Total Cost'!N40,-5)</f>
        <v>23400000</v>
      </c>
      <c r="X17" s="418">
        <f>ROUND('Pax Total Cost'!O40,-5)</f>
        <v>24600000</v>
      </c>
      <c r="Y17" s="418">
        <f>ROUND('Pax Total Cost'!P40,-5)</f>
        <v>16400000</v>
      </c>
      <c r="Z17" s="418">
        <f>ROUND('Pax Total Cost'!Q40,-5)</f>
        <v>18400000</v>
      </c>
      <c r="AA17" s="418">
        <f>ROUND('Pax Total Cost'!R40,-5)</f>
        <v>17000000</v>
      </c>
      <c r="AB17" s="418">
        <f>ROUND('Pax Total Cost'!S40,-5)</f>
        <v>19200000</v>
      </c>
      <c r="AC17" s="418">
        <f>ROUND('Pax Total Cost'!T40,-5)</f>
        <v>19500000</v>
      </c>
      <c r="AD17" s="80" t="s">
        <v>100</v>
      </c>
      <c r="AE17" s="420">
        <f>ROUND('Pax Total Cost'!W40,-5)</f>
        <v>26300000</v>
      </c>
      <c r="AF17" s="420">
        <f>ROUND('Pax Total Cost'!X40,-5)</f>
        <v>29400000</v>
      </c>
      <c r="AG17" s="420">
        <f>ROUND('Pax Total Cost'!Y40,-5)</f>
        <v>36900000</v>
      </c>
      <c r="AH17" s="420">
        <f>ROUND('Pax Total Cost'!Z40,-5)</f>
        <v>21900000</v>
      </c>
      <c r="AI17" s="420">
        <f>ROUND('Pax Total Cost'!AA40,-5)</f>
        <v>31300000</v>
      </c>
      <c r="AJ17" s="420">
        <f>ROUND('Pax Total Cost'!AB40,-5)</f>
        <v>28300000</v>
      </c>
      <c r="AK17" s="420">
        <f>ROUND('Pax Total Cost'!AC40,-5)</f>
        <v>41300000</v>
      </c>
      <c r="AL17" s="420">
        <f>ROUND('Pax Total Cost'!AD40,-5)</f>
        <v>41300000</v>
      </c>
    </row>
    <row r="18" spans="11:38" ht="26.25" x14ac:dyDescent="0.25">
      <c r="K18" s="273" t="s">
        <v>220</v>
      </c>
      <c r="L18" s="274">
        <f>ROUND(SUM('Pax Operate Maint'!C14:C39),-5)</f>
        <v>32100000</v>
      </c>
      <c r="M18" s="274">
        <f>ROUND(SUM('Pax Operate Maint'!D14:D39),-5)</f>
        <v>35000000</v>
      </c>
      <c r="N18" s="274">
        <f>ROUND(SUM('Pax Operate Maint'!E14:E39),-5)</f>
        <v>40300000</v>
      </c>
      <c r="O18" s="274">
        <f>ROUND(SUM('Pax Operate Maint'!F14:F39),-5)</f>
        <v>25000000</v>
      </c>
      <c r="P18" s="274">
        <f>ROUND(SUM('Pax Operate Maint'!G14:G39),-5)</f>
        <v>31400000</v>
      </c>
      <c r="Q18" s="274">
        <f>ROUND(SUM('Pax Operate Maint'!H14:H39),-5)</f>
        <v>29500000</v>
      </c>
      <c r="R18" s="274">
        <f>ROUND(SUM('Pax Operate Maint'!I14:I39),-5)</f>
        <v>36200000</v>
      </c>
      <c r="S18" s="274">
        <f>ROUND(SUM('Pax Operate Maint'!J14:J39),-5)</f>
        <v>36400000</v>
      </c>
      <c r="T18" s="286">
        <f>ROUND('Manual Total'!F26,-5)</f>
        <v>45200000</v>
      </c>
      <c r="U18" s="273" t="s">
        <v>220</v>
      </c>
      <c r="V18" s="274">
        <f>ROUND(SUM('Pax Operate Maint'!M14:M39),-5)</f>
        <v>29700000</v>
      </c>
      <c r="W18" s="274">
        <f>ROUND(SUM('Pax Operate Maint'!N14:N39),-5)</f>
        <v>31500000</v>
      </c>
      <c r="X18" s="274">
        <f>ROUND(SUM('Pax Operate Maint'!O14:O39),-5)</f>
        <v>33300000</v>
      </c>
      <c r="Y18" s="274">
        <f>ROUND(SUM('Pax Operate Maint'!P14:P39),-5)</f>
        <v>22100000</v>
      </c>
      <c r="Z18" s="274">
        <f>ROUND(SUM('Pax Operate Maint'!Q14:Q39),-5)</f>
        <v>24700000</v>
      </c>
      <c r="AA18" s="274">
        <f>ROUND(SUM('Pax Operate Maint'!R14:R39),-5)</f>
        <v>22700000</v>
      </c>
      <c r="AB18" s="274">
        <f>ROUND(SUM('Pax Operate Maint'!S14:S39),-5)</f>
        <v>25700000</v>
      </c>
      <c r="AC18" s="274">
        <f>ROUND(SUM('Pax Operate Maint'!T14:T39),-5)</f>
        <v>26300000</v>
      </c>
      <c r="AD18" s="273" t="s">
        <v>220</v>
      </c>
      <c r="AE18" s="274">
        <f>ROUND(SUM('Pax Operate Maint'!W14:W39),-5)</f>
        <v>34500000</v>
      </c>
      <c r="AF18" s="274">
        <f>ROUND(SUM('Pax Operate Maint'!X14:X39),-5)</f>
        <v>38500000</v>
      </c>
      <c r="AG18" s="274">
        <f>ROUND(SUM('Pax Operate Maint'!Y14:Y39),-5)</f>
        <v>47400000</v>
      </c>
      <c r="AH18" s="274">
        <f>ROUND(SUM('Pax Operate Maint'!Z14:Z39),-5)</f>
        <v>27900000</v>
      </c>
      <c r="AI18" s="274">
        <f>ROUND(SUM('Pax Operate Maint'!AA14:AA39),-5)</f>
        <v>38100000</v>
      </c>
      <c r="AJ18" s="274">
        <f>ROUND(SUM('Pax Operate Maint'!AB14:AB39),-5)</f>
        <v>36200000</v>
      </c>
      <c r="AK18" s="274">
        <f>ROUND(SUM('Pax Operate Maint'!AC14:AC39),-5)</f>
        <v>46700000</v>
      </c>
      <c r="AL18" s="274">
        <f>ROUND(SUM('Pax Operate Maint'!AD14:AD39),-5)</f>
        <v>46600000</v>
      </c>
    </row>
    <row r="19" spans="11:38" ht="26.25" x14ac:dyDescent="0.25">
      <c r="K19" s="275" t="s">
        <v>221</v>
      </c>
      <c r="L19" s="276">
        <f>ROUND(SUM('Pax Capital'!C16:C41),-5)</f>
        <v>1100000</v>
      </c>
      <c r="M19" s="276">
        <f>ROUND(SUM('Pax Capital'!D16:D41),-5)</f>
        <v>1500000</v>
      </c>
      <c r="N19" s="276">
        <f>ROUND(SUM('Pax Capital'!E16:E41),-5)</f>
        <v>2200000</v>
      </c>
      <c r="O19" s="276">
        <f>ROUND(SUM('Pax Capital'!F16:F41),-5)</f>
        <v>1500000</v>
      </c>
      <c r="P19" s="276">
        <f>ROUND(SUM('Pax Capital'!G16:G41),-5)</f>
        <v>3200000</v>
      </c>
      <c r="Q19" s="276">
        <f>ROUND(SUM('Pax Capital'!H16:H41),-5)</f>
        <v>2100000</v>
      </c>
      <c r="R19" s="276">
        <f>ROUND(SUM('Pax Capital'!I16:I41),-5)</f>
        <v>6200000</v>
      </c>
      <c r="S19" s="276">
        <f>ROUND(SUM('Pax Capital'!J16:J41),-5)</f>
        <v>6200000</v>
      </c>
      <c r="T19" s="286">
        <f>ROUND('Manual Total'!F27,-5)</f>
        <v>2300000</v>
      </c>
      <c r="U19" s="275" t="s">
        <v>221</v>
      </c>
      <c r="V19" s="276">
        <f>ROUND(SUM('Pax Capital'!M16:M41),-5)</f>
        <v>500000</v>
      </c>
      <c r="W19" s="276">
        <f>ROUND(SUM('Pax Capital'!N16:N41),-5)</f>
        <v>800000</v>
      </c>
      <c r="X19" s="276">
        <f>ROUND(SUM('Pax Capital'!O16:O41),-5)</f>
        <v>700000</v>
      </c>
      <c r="Y19" s="276">
        <f>ROUND(SUM('Pax Capital'!P16:P41),-5)</f>
        <v>600000</v>
      </c>
      <c r="Z19" s="276">
        <f>ROUND(SUM('Pax Capital'!Q16:Q41),-5)</f>
        <v>900000</v>
      </c>
      <c r="AA19" s="276">
        <f>ROUND(SUM('Pax Capital'!R16:R41),-5)</f>
        <v>800000</v>
      </c>
      <c r="AB19" s="276">
        <f>ROUND(SUM('Pax Capital'!S16:S41),-5)</f>
        <v>1000000</v>
      </c>
      <c r="AC19" s="276">
        <f>ROUND(SUM('Pax Capital'!T16:T41),-5)</f>
        <v>900000</v>
      </c>
      <c r="AD19" s="275" t="s">
        <v>221</v>
      </c>
      <c r="AE19" s="276">
        <f>ROUND(SUM('Pax Capital'!W16:W41),-5)</f>
        <v>1700000</v>
      </c>
      <c r="AF19" s="276">
        <f>ROUND(SUM('Pax Capital'!X16:X41),-5)</f>
        <v>2200000</v>
      </c>
      <c r="AG19" s="276">
        <f>ROUND(SUM('Pax Capital'!Y16:Y41),-5)</f>
        <v>3700000</v>
      </c>
      <c r="AH19" s="276">
        <f>ROUND(SUM('Pax Capital'!Z16:Z41),-5)</f>
        <v>2400000</v>
      </c>
      <c r="AI19" s="276">
        <f>ROUND(SUM('Pax Capital'!AA16:AA41),-5)</f>
        <v>5600000</v>
      </c>
      <c r="AJ19" s="276">
        <f>ROUND(SUM('Pax Capital'!AB16:AB41),-5)</f>
        <v>3400000</v>
      </c>
      <c r="AK19" s="276">
        <f>ROUND(SUM('Pax Capital'!AC16:AC41),-5)</f>
        <v>11300000</v>
      </c>
      <c r="AL19" s="276">
        <f>ROUND(SUM('Pax Capital'!AD16:AD41),-5)</f>
        <v>11600000</v>
      </c>
    </row>
    <row r="20" spans="11:38" ht="26.25" x14ac:dyDescent="0.25">
      <c r="K20" s="277" t="s">
        <v>54</v>
      </c>
      <c r="L20" s="278">
        <f>'Pax Operate Maint'!C11</f>
        <v>626.31578947368416</v>
      </c>
      <c r="M20" s="278">
        <f>'Pax Operate Maint'!D11</f>
        <v>661.40350877192986</v>
      </c>
      <c r="N20" s="278">
        <f>'Pax Operate Maint'!E11</f>
        <v>741.22807017543857</v>
      </c>
      <c r="O20" s="278">
        <f>'Pax Operate Maint'!F11</f>
        <v>475.43859649122805</v>
      </c>
      <c r="P20" s="278">
        <f>'Pax Operate Maint'!G11</f>
        <v>557.89473684210532</v>
      </c>
      <c r="Q20" s="278">
        <f>'Pax Operate Maint'!H11</f>
        <v>509.64912280701753</v>
      </c>
      <c r="R20" s="278">
        <f>'Pax Operate Maint'!I11</f>
        <v>616.66666666666663</v>
      </c>
      <c r="S20" s="278">
        <f>'Pax Operate Maint'!J11</f>
        <v>601.75438596491233</v>
      </c>
      <c r="T20" s="286">
        <f>'Manual Total'!F24</f>
        <v>808.77192982456143</v>
      </c>
      <c r="U20" s="277" t="s">
        <v>54</v>
      </c>
      <c r="V20" s="278">
        <f>'Pax Operate Maint'!M11</f>
        <v>568.42105263157896</v>
      </c>
      <c r="W20" s="278">
        <f>'Pax Operate Maint'!N11</f>
        <v>596.49122807017545</v>
      </c>
      <c r="X20" s="278">
        <f>'Pax Operate Maint'!O11</f>
        <v>608.77192982456143</v>
      </c>
      <c r="Y20" s="278">
        <f>'Pax Operate Maint'!P11</f>
        <v>421.92982456140351</v>
      </c>
      <c r="Z20" s="278">
        <f>'Pax Operate Maint'!Q11</f>
        <v>435.08771929824559</v>
      </c>
      <c r="AA20" s="278">
        <f>'Pax Operate Maint'!R11</f>
        <v>414.91228070175441</v>
      </c>
      <c r="AB20" s="278">
        <f>'Pax Operate Maint'!S11</f>
        <v>416.66666666666669</v>
      </c>
      <c r="AC20" s="278">
        <f>'Pax Operate Maint'!T11</f>
        <v>425.43859649122805</v>
      </c>
      <c r="AD20" s="277" t="s">
        <v>54</v>
      </c>
      <c r="AE20" s="278">
        <f>'Pax Operate Maint'!W11</f>
        <v>684.21052631578948</v>
      </c>
      <c r="AF20" s="278">
        <f>'Pax Operate Maint'!X11</f>
        <v>727.19298245614038</v>
      </c>
      <c r="AG20" s="278">
        <f>'Pax Operate Maint'!Y11</f>
        <v>873.68421052631584</v>
      </c>
      <c r="AH20" s="278">
        <f>'Pax Operate Maint'!Z11</f>
        <v>528.9473684210526</v>
      </c>
      <c r="AI20" s="278">
        <f>'Pax Operate Maint'!AA11</f>
        <v>679.82456140350882</v>
      </c>
      <c r="AJ20" s="278">
        <f>'Pax Operate Maint'!AB11</f>
        <v>604.38596491228066</v>
      </c>
      <c r="AK20" s="278">
        <f>'Pax Operate Maint'!AC11</f>
        <v>816.66666666666663</v>
      </c>
      <c r="AL20" s="278">
        <f>'Pax Operate Maint'!AD11</f>
        <v>778.07017543859649</v>
      </c>
    </row>
    <row r="21" spans="11:38" ht="26.25" x14ac:dyDescent="0.25">
      <c r="K21" s="279" t="s">
        <v>99</v>
      </c>
      <c r="L21" s="280">
        <f>'Pax Capital'!C17/'User Inputs'!$B24</f>
        <v>41.871663685402943</v>
      </c>
      <c r="M21" s="280">
        <f>'Pax Capital'!D17/'User Inputs'!$B24</f>
        <v>57.585367922306318</v>
      </c>
      <c r="N21" s="280">
        <f>'Pax Capital'!E17/'User Inputs'!$B24</f>
        <v>83.484051363494885</v>
      </c>
      <c r="O21" s="280">
        <f>'Pax Capital'!F17/'User Inputs'!$B24</f>
        <v>55.880491354362412</v>
      </c>
      <c r="P21" s="280">
        <f>'Pax Capital'!G17/'User Inputs'!$B24</f>
        <v>123.58982508766657</v>
      </c>
      <c r="Q21" s="280">
        <f>'Pax Capital'!H17/'User Inputs'!$B24</f>
        <v>79.386343003712241</v>
      </c>
      <c r="R21" s="280">
        <f>'Pax Capital'!I17/'User Inputs'!$B24</f>
        <v>236.48541219927654</v>
      </c>
      <c r="S21" s="280">
        <f>'Pax Capital'!J17/'User Inputs'!$B24</f>
        <v>238.14614710359766</v>
      </c>
      <c r="T21" s="286">
        <f>'Manual Total'!F25</f>
        <v>88.227039420503104</v>
      </c>
      <c r="U21" s="279" t="s">
        <v>99</v>
      </c>
      <c r="V21" s="280">
        <f>'Pax Capital'!M17/'User Inputs'!$B24</f>
        <v>20.180575681852783</v>
      </c>
      <c r="W21" s="280">
        <f>'Pax Capital'!N17/'User Inputs'!$B24</f>
        <v>29.586791229129481</v>
      </c>
      <c r="X21" s="280">
        <f>'Pax Capital'!O17/'User Inputs'!$B24</f>
        <v>26.786933559811796</v>
      </c>
      <c r="Y21" s="280">
        <f>'Pax Capital'!P17/'User Inputs'!$B24</f>
        <v>21.532316224348072</v>
      </c>
      <c r="Z21" s="280">
        <f>'Pax Capital'!Q17/'User Inputs'!$B24</f>
        <v>33.414721636399754</v>
      </c>
      <c r="AA21" s="280">
        <f>'Pax Capital'!R17/'User Inputs'!$B24</f>
        <v>29.878443069683414</v>
      </c>
      <c r="AB21" s="280">
        <f>'Pax Capital'!S17/'User Inputs'!$B24</f>
        <v>39.387763585223162</v>
      </c>
      <c r="AC21" s="280">
        <f>'Pax Capital'!T17/'User Inputs'!$B24</f>
        <v>33.33576031426179</v>
      </c>
      <c r="AD21" s="279" t="s">
        <v>99</v>
      </c>
      <c r="AE21" s="280">
        <f>'Pax Capital'!W17/'User Inputs'!$B24</f>
        <v>63.562751688953099</v>
      </c>
      <c r="AF21" s="280">
        <f>'Pax Capital'!X17/'User Inputs'!$B24</f>
        <v>85.583944615483134</v>
      </c>
      <c r="AG21" s="280">
        <f>'Pax Capital'!Y17/'User Inputs'!$B24</f>
        <v>140.18116916717796</v>
      </c>
      <c r="AH21" s="280">
        <f>'Pax Capital'!Z17/'User Inputs'!$B24</f>
        <v>90.228666484376731</v>
      </c>
      <c r="AI21" s="280">
        <f>'Pax Capital'!AA17/'User Inputs'!$B24</f>
        <v>213.76492853893336</v>
      </c>
      <c r="AJ21" s="280">
        <f>'Pax Capital'!AB17/'User Inputs'!$B24</f>
        <v>128.89424293774107</v>
      </c>
      <c r="AK21" s="280">
        <f>'Pax Capital'!AC17/'User Inputs'!$B24</f>
        <v>433.58306081332989</v>
      </c>
      <c r="AL21" s="280">
        <f>'Pax Capital'!AD17/'User Inputs'!$B24</f>
        <v>442.95653389293341</v>
      </c>
    </row>
    <row r="22" spans="11:38" ht="24.75" x14ac:dyDescent="0.25">
      <c r="K22" s="289" t="s">
        <v>139</v>
      </c>
      <c r="L22" s="292">
        <f>'Pax Total Cost'!C6/'User Inputs'!$B23</f>
        <v>5.4254536794968615</v>
      </c>
      <c r="M22" s="292">
        <f>'Pax Total Cost'!D6/'User Inputs'!$B23</f>
        <v>5.8379438705942253</v>
      </c>
      <c r="N22" s="292">
        <f>'Pax Total Cost'!E6/'User Inputs'!$B23</f>
        <v>6.6963804740340755</v>
      </c>
      <c r="O22" s="292">
        <f>'Pax Total Cost'!F6/'User Inputs'!$B23</f>
        <v>4.3141293457547949</v>
      </c>
      <c r="P22" s="292">
        <f>'Pax Total Cost'!G6/'User Inputs'!$B23</f>
        <v>5.5334216566947285</v>
      </c>
      <c r="Q22" s="292">
        <f>'Pax Total Cost'!H6/'User Inputs'!$B23</f>
        <v>4.7827666027366948</v>
      </c>
      <c r="R22" s="292">
        <f>'Pax Total Cost'!I6/'User Inputs'!$B23</f>
        <v>6.9273032044670595</v>
      </c>
      <c r="S22" s="292">
        <f>'Pax Total Cost'!J6/'User Inputs'!$B23</f>
        <v>6.8197051830349098</v>
      </c>
      <c r="T22" s="285">
        <f>'Manual Total'!C6/'User Inputs'!B23</f>
        <v>7.2833249639556517</v>
      </c>
      <c r="U22" s="289" t="s">
        <v>139</v>
      </c>
      <c r="V22" s="292">
        <f>'Pax Total Cost'!M6/'User Inputs'!$B23</f>
        <v>4.779243990579146</v>
      </c>
      <c r="W22" s="292">
        <f>'Pax Total Cost'!N6/'User Inputs'!$B23</f>
        <v>5.0835394729430741</v>
      </c>
      <c r="X22" s="292">
        <f>'Pax Total Cost'!O6/'User Inputs'!$B23</f>
        <v>5.1605206855996117</v>
      </c>
      <c r="Y22" s="292">
        <f>'Pax Total Cost'!P6/'User Inputs'!$B23</f>
        <v>3.600760972192</v>
      </c>
      <c r="Z22" s="292">
        <f>'Pax Total Cost'!Q6/'User Inputs'!$B23</f>
        <v>3.8040796486146422</v>
      </c>
      <c r="AA22" s="292">
        <f>'Pax Total Cost'!R6/'User Inputs'!$B23</f>
        <v>3.6115486118193667</v>
      </c>
      <c r="AB22" s="292">
        <f>'Pax Total Cost'!S6/'User Inputs'!$B23</f>
        <v>3.7030060576008146</v>
      </c>
      <c r="AC22" s="292">
        <f>'Pax Total Cost'!T6/'User Inputs'!$B23</f>
        <v>3.7250909313266272</v>
      </c>
      <c r="AD22" s="289" t="s">
        <v>139</v>
      </c>
      <c r="AE22" s="54">
        <f>'Pax Total Cost'!W6/'User Inputs'!$B23</f>
        <v>6.0716633684145762</v>
      </c>
      <c r="AF22" s="54">
        <f>'Pax Total Cost'!X6/'User Inputs'!$B23</f>
        <v>6.599470775367883</v>
      </c>
      <c r="AG22" s="54">
        <f>'Pax Total Cost'!Y6/'User Inputs'!$B23</f>
        <v>8.2322402624685385</v>
      </c>
      <c r="AH22" s="54">
        <f>'Pax Total Cost'!Z6/'User Inputs'!$B23</f>
        <v>5.0274977193175889</v>
      </c>
      <c r="AI22" s="54">
        <f>'Pax Total Cost'!AA6/'User Inputs'!$B23</f>
        <v>7.2556411576523079</v>
      </c>
      <c r="AJ22" s="54">
        <f>'Pax Total Cost'!AB6/'User Inputs'!$B23</f>
        <v>5.953984593654023</v>
      </c>
      <c r="AK22" s="54">
        <f>'Pax Total Cost'!AC6/'User Inputs'!$B23</f>
        <v>10.151600351333306</v>
      </c>
      <c r="AL22" s="54">
        <f>'Pax Total Cost'!AD6/'User Inputs'!$B23</f>
        <v>9.9143194347431916</v>
      </c>
    </row>
    <row r="23" spans="11:38" ht="24.75" x14ac:dyDescent="0.25">
      <c r="K23" s="289" t="s">
        <v>140</v>
      </c>
      <c r="L23" s="175">
        <f>'Pax Total Cost'!C6/'Pax Service Overview'!B14</f>
        <v>91.007610107689302</v>
      </c>
      <c r="M23" s="175">
        <f>'Pax Total Cost'!D6/'Pax Service Overview'!C14</f>
        <v>147.68420169935663</v>
      </c>
      <c r="N23" s="175">
        <f>'Pax Total Cost'!E6/'Pax Service Overview'!D14</f>
        <v>169.40032766745659</v>
      </c>
      <c r="O23" s="175">
        <f>'Pax Total Cost'!F6/'Pax Service Overview'!E14</f>
        <v>197.94240527580823</v>
      </c>
      <c r="P23" s="175">
        <f>'Pax Total Cost'!G6/'Pax Service Overview'!F14</f>
        <v>312.0049801606184</v>
      </c>
      <c r="Q23" s="175">
        <f>'Pax Total Cost'!H6/'Pax Service Overview'!G14</f>
        <v>269.67888796153892</v>
      </c>
      <c r="R23" s="175">
        <f>'Pax Total Cost'!I6/'Pax Service Overview'!H14</f>
        <v>611.69394333784601</v>
      </c>
      <c r="S23" s="175">
        <f>'Pax Total Cost'!J6/'Pax Service Overview'!I14</f>
        <v>839.90053306850996</v>
      </c>
      <c r="T23" s="286">
        <f>'Manual Total'!C6/SUM('Manual Oper Maint'!C3:J3)</f>
        <v>167.08804329074732</v>
      </c>
      <c r="U23" s="289" t="s">
        <v>140</v>
      </c>
      <c r="V23" s="292">
        <f>'Pax Total Cost'!M6/'Pax Service Overview'!B14</f>
        <v>80.167963712940519</v>
      </c>
      <c r="W23" s="292">
        <f>'Pax Total Cost'!N6/'Pax Service Overview'!C14</f>
        <v>128.59980936958695</v>
      </c>
      <c r="X23" s="292">
        <f>'Pax Total Cost'!O6/'Pax Service Overview'!D14</f>
        <v>130.54722599246585</v>
      </c>
      <c r="Y23" s="292">
        <f>'Pax Total Cost'!P6/'Pax Service Overview'!E14</f>
        <v>165.21138578292707</v>
      </c>
      <c r="Z23" s="292">
        <f>'Pax Total Cost'!Q6/'Pax Service Overview'!F14</f>
        <v>214.49509343995814</v>
      </c>
      <c r="AA23" s="292">
        <f>'Pax Total Cost'!R6/'Pax Service Overview'!G14</f>
        <v>203.63912654595947</v>
      </c>
      <c r="AB23" s="292">
        <f>'Pax Total Cost'!S6/'Pax Service Overview'!H14</f>
        <v>326.98242169003419</v>
      </c>
      <c r="AC23" s="292">
        <f>'Pax Total Cost'!T6/'Pax Service Overview'!I14</f>
        <v>458.77435680548984</v>
      </c>
      <c r="AD23" s="289" t="s">
        <v>140</v>
      </c>
      <c r="AE23" s="54">
        <f>'Pax Total Cost'!W6/'Pax Service Overview'!B14</f>
        <v>101.84725650243806</v>
      </c>
      <c r="AF23" s="54">
        <f>'Pax Total Cost'!X6/'Pax Service Overview'!C14</f>
        <v>166.94877420930644</v>
      </c>
      <c r="AG23" s="54">
        <f>'Pax Total Cost'!Y6/'Pax Service Overview'!D14</f>
        <v>208.25342934244736</v>
      </c>
      <c r="AH23" s="54">
        <f>'Pax Total Cost'!Z6/'Pax Service Overview'!E14</f>
        <v>230.67342476868939</v>
      </c>
      <c r="AI23" s="54">
        <f>'Pax Total Cost'!AA6/'Pax Service Overview'!F14</f>
        <v>409.11326045557587</v>
      </c>
      <c r="AJ23" s="54">
        <f>'Pax Total Cost'!AB6/'Pax Service Overview'!G14</f>
        <v>335.71864937711837</v>
      </c>
      <c r="AK23" s="54">
        <f>'Pax Total Cost'!AC6/'Pax Service Overview'!H14</f>
        <v>896.405464985658</v>
      </c>
      <c r="AL23" s="54">
        <f>'Pax Total Cost'!AD6/'Pax Service Overview'!I14</f>
        <v>1221.0267093315299</v>
      </c>
    </row>
    <row r="24" spans="11:38" ht="24.75" x14ac:dyDescent="0.25">
      <c r="K24" s="53" t="s">
        <v>222</v>
      </c>
      <c r="L24" s="175">
        <f>ROUND('Pax Total Cost'!C31,-3)</f>
        <v>284000</v>
      </c>
      <c r="M24" s="175">
        <f>ROUND('Pax Total Cost'!D31,-3)</f>
        <v>394000</v>
      </c>
      <c r="N24" s="175">
        <f>ROUND('Pax Total Cost'!E31,-3)</f>
        <v>577000</v>
      </c>
      <c r="O24" s="175">
        <f>ROUND('Pax Total Cost'!F31,-3)</f>
        <v>382000</v>
      </c>
      <c r="P24" s="175">
        <f>ROUND('Pax Total Cost'!G31,-3)</f>
        <v>859000</v>
      </c>
      <c r="Q24" s="175">
        <f>ROUND('Pax Total Cost'!H31,-3)</f>
        <v>548000</v>
      </c>
      <c r="R24" s="175">
        <f>ROUND('Pax Total Cost'!I31,-3)</f>
        <v>1655000</v>
      </c>
      <c r="S24" s="175">
        <f>ROUND('Pax Total Cost'!J31,-3)</f>
        <v>1666000</v>
      </c>
      <c r="T24" s="286">
        <f>ROUND(SUM('Manual Capital'!C12:J12),-3)</f>
        <v>610000</v>
      </c>
      <c r="U24" s="53" t="s">
        <v>222</v>
      </c>
      <c r="V24" s="292">
        <f>ROUND('Pax Total Cost'!M31,-3)</f>
        <v>131000</v>
      </c>
      <c r="W24" s="292">
        <f>ROUND('Pax Total Cost'!N31,-3)</f>
        <v>197000</v>
      </c>
      <c r="X24" s="292">
        <f>ROUND('Pax Total Cost'!O31,-3)</f>
        <v>178000</v>
      </c>
      <c r="Y24" s="292">
        <f>ROUND('Pax Total Cost'!P31,-3)</f>
        <v>140000</v>
      </c>
      <c r="Z24" s="292">
        <f>ROUND('Pax Total Cost'!Q31,-3)</f>
        <v>224000</v>
      </c>
      <c r="AA24" s="292">
        <f>ROUND('Pax Total Cost'!R31,-3)</f>
        <v>199000</v>
      </c>
      <c r="AB24" s="292">
        <f>ROUND('Pax Total Cost'!S31,-3)</f>
        <v>266000</v>
      </c>
      <c r="AC24" s="292">
        <f>ROUND('Pax Total Cost'!T31,-3)</f>
        <v>224000</v>
      </c>
      <c r="AD24" s="53" t="s">
        <v>222</v>
      </c>
      <c r="AE24" s="56">
        <f>ROUND('Pax Total Cost'!W31,-3)</f>
        <v>437000</v>
      </c>
      <c r="AF24" s="56">
        <f>ROUND('Pax Total Cost'!X31,-3)</f>
        <v>592000</v>
      </c>
      <c r="AG24" s="56">
        <f>ROUND('Pax Total Cost'!Y31,-3)</f>
        <v>976000</v>
      </c>
      <c r="AH24" s="56">
        <f>ROUND('Pax Total Cost'!Z31,-3)</f>
        <v>624000</v>
      </c>
      <c r="AI24" s="56">
        <f>ROUND('Pax Total Cost'!AA31,-3)</f>
        <v>1495000</v>
      </c>
      <c r="AJ24" s="56">
        <f>ROUND('Pax Total Cost'!AB31,-3)</f>
        <v>897000</v>
      </c>
      <c r="AK24" s="56">
        <f>ROUND('Pax Total Cost'!AC31,-3)</f>
        <v>3043000</v>
      </c>
      <c r="AL24" s="56">
        <f>ROUND('Pax Total Cost'!AD31,-3)</f>
        <v>3109000</v>
      </c>
    </row>
    <row r="25" spans="11:38" x14ac:dyDescent="0.25">
      <c r="L25" s="116"/>
      <c r="M25" s="116"/>
      <c r="N25" s="116"/>
      <c r="O25" s="116"/>
      <c r="P25" s="116"/>
      <c r="Q25" s="116"/>
      <c r="R25" s="116"/>
      <c r="T25" s="176"/>
    </row>
    <row r="26" spans="11:38" x14ac:dyDescent="0.25">
      <c r="K26" s="177" t="s">
        <v>80</v>
      </c>
      <c r="L26" s="178">
        <f t="shared" ref="L26:S26" si="8">L7</f>
        <v>5.4545454545454541</v>
      </c>
      <c r="M26" s="178">
        <f t="shared" si="8"/>
        <v>9.0714285714285712</v>
      </c>
      <c r="N26" s="178">
        <f t="shared" si="8"/>
        <v>8.8928571428571441</v>
      </c>
      <c r="O26" s="178">
        <f t="shared" si="8"/>
        <v>16.265625</v>
      </c>
      <c r="P26" s="178">
        <f t="shared" si="8"/>
        <v>19.678571428571427</v>
      </c>
      <c r="Q26" s="178">
        <f t="shared" si="8"/>
        <v>21.166666666666668</v>
      </c>
      <c r="R26" s="178">
        <f t="shared" si="8"/>
        <v>29.517857142857142</v>
      </c>
      <c r="S26" s="178">
        <f t="shared" si="8"/>
        <v>59.653846153846153</v>
      </c>
      <c r="T26" s="297"/>
    </row>
    <row r="34" spans="1:10" x14ac:dyDescent="0.25">
      <c r="A34" s="402" t="s">
        <v>238</v>
      </c>
      <c r="B34" s="403"/>
      <c r="C34" s="403"/>
      <c r="D34" s="403"/>
      <c r="E34" s="403"/>
      <c r="F34" s="403"/>
      <c r="G34" s="403"/>
      <c r="H34" s="403"/>
      <c r="I34" s="403"/>
      <c r="J34" s="403"/>
    </row>
    <row r="35" spans="1:10" ht="22.5" x14ac:dyDescent="0.25">
      <c r="A35" s="403"/>
      <c r="B35" s="404" t="s">
        <v>173</v>
      </c>
      <c r="C35" s="404" t="s">
        <v>171</v>
      </c>
      <c r="D35" s="404" t="s">
        <v>172</v>
      </c>
      <c r="E35" s="404" t="s">
        <v>174</v>
      </c>
      <c r="F35" s="404" t="s">
        <v>195</v>
      </c>
      <c r="G35" s="404" t="s">
        <v>175</v>
      </c>
      <c r="H35" s="404" t="s">
        <v>176</v>
      </c>
      <c r="I35" s="404" t="s">
        <v>177</v>
      </c>
      <c r="J35" s="405" t="s">
        <v>81</v>
      </c>
    </row>
    <row r="36" spans="1:10" x14ac:dyDescent="0.25">
      <c r="A36" s="406" t="s">
        <v>290</v>
      </c>
      <c r="B36" s="407" t="str">
        <f>IF(L16=MIN($L16:$T16),"Min"," ")</f>
        <v xml:space="preserve"> </v>
      </c>
      <c r="C36" s="407" t="str">
        <f t="shared" ref="C36:J36" si="9">IF(M16=MIN($L16:$T16),"Min"," ")</f>
        <v xml:space="preserve"> </v>
      </c>
      <c r="D36" s="407" t="str">
        <f t="shared" ref="D36" si="10">IF(N16=MIN($L16:$T16),"Min"," ")</f>
        <v xml:space="preserve"> </v>
      </c>
      <c r="E36" s="407" t="str">
        <f t="shared" ref="E36" si="11">IF(O16=MIN($L16:$T16),"Min"," ")</f>
        <v>Min</v>
      </c>
      <c r="F36" s="407" t="str">
        <f t="shared" ref="F36" si="12">IF(P16=MIN($L16:$T16),"Min"," ")</f>
        <v xml:space="preserve"> </v>
      </c>
      <c r="G36" s="407" t="str">
        <f t="shared" ref="G36" si="13">IF(Q16=MIN($L16:$T16),"Min"," ")</f>
        <v xml:space="preserve"> </v>
      </c>
      <c r="H36" s="407" t="str">
        <f t="shared" si="9"/>
        <v xml:space="preserve"> </v>
      </c>
      <c r="I36" s="407" t="str">
        <f t="shared" si="9"/>
        <v xml:space="preserve"> </v>
      </c>
      <c r="J36" s="407" t="str">
        <f t="shared" si="9"/>
        <v xml:space="preserve"> </v>
      </c>
    </row>
    <row r="37" spans="1:10" x14ac:dyDescent="0.25">
      <c r="A37" s="408" t="str">
        <f>K20</f>
        <v>Operating cost per operating hour (Year 1)</v>
      </c>
      <c r="B37" s="409"/>
      <c r="C37" s="409"/>
      <c r="D37" s="409"/>
      <c r="E37" s="409"/>
      <c r="F37" s="409"/>
      <c r="G37" s="409"/>
      <c r="H37" s="409"/>
      <c r="I37" s="409"/>
      <c r="J37" s="410"/>
    </row>
    <row r="38" spans="1:10" ht="24.75" customHeight="1" x14ac:dyDescent="0.25">
      <c r="A38" s="411" t="s">
        <v>95</v>
      </c>
      <c r="B38" s="412">
        <f t="shared" ref="B38:I38" si="14">L20</f>
        <v>626.31578947368416</v>
      </c>
      <c r="C38" s="412">
        <f t="shared" si="14"/>
        <v>661.40350877192986</v>
      </c>
      <c r="D38" s="412">
        <f t="shared" si="14"/>
        <v>741.22807017543857</v>
      </c>
      <c r="E38" s="412">
        <f t="shared" si="14"/>
        <v>475.43859649122805</v>
      </c>
      <c r="F38" s="412">
        <f t="shared" si="14"/>
        <v>557.89473684210532</v>
      </c>
      <c r="G38" s="412">
        <f t="shared" si="14"/>
        <v>509.64912280701753</v>
      </c>
      <c r="H38" s="412">
        <f t="shared" si="14"/>
        <v>616.66666666666663</v>
      </c>
      <c r="I38" s="412">
        <f t="shared" si="14"/>
        <v>601.75438596491233</v>
      </c>
      <c r="J38" s="410">
        <f>'Manual Total'!F24</f>
        <v>808.77192982456143</v>
      </c>
    </row>
    <row r="39" spans="1:10" ht="23.25" customHeight="1" x14ac:dyDescent="0.25">
      <c r="A39" s="411" t="s">
        <v>96</v>
      </c>
      <c r="B39" s="412">
        <f t="shared" ref="B39:I39" si="15">B38-V20</f>
        <v>57.894736842105203</v>
      </c>
      <c r="C39" s="412">
        <f t="shared" si="15"/>
        <v>64.912280701754412</v>
      </c>
      <c r="D39" s="412">
        <f t="shared" si="15"/>
        <v>132.45614035087715</v>
      </c>
      <c r="E39" s="412">
        <f t="shared" si="15"/>
        <v>53.508771929824547</v>
      </c>
      <c r="F39" s="412">
        <f t="shared" si="15"/>
        <v>122.80701754385973</v>
      </c>
      <c r="G39" s="412">
        <f t="shared" si="15"/>
        <v>94.736842105263122</v>
      </c>
      <c r="H39" s="412">
        <f t="shared" si="15"/>
        <v>199.99999999999994</v>
      </c>
      <c r="I39" s="412">
        <f t="shared" si="15"/>
        <v>176.31578947368428</v>
      </c>
      <c r="J39" s="410"/>
    </row>
    <row r="40" spans="1:10" ht="23.25" customHeight="1" x14ac:dyDescent="0.25">
      <c r="A40" s="411" t="s">
        <v>97</v>
      </c>
      <c r="B40" s="412">
        <f t="shared" ref="B40:I40" si="16">AE20-B38</f>
        <v>57.894736842105317</v>
      </c>
      <c r="C40" s="412">
        <f t="shared" si="16"/>
        <v>65.78947368421052</v>
      </c>
      <c r="D40" s="412">
        <f t="shared" si="16"/>
        <v>132.45614035087726</v>
      </c>
      <c r="E40" s="412">
        <f t="shared" si="16"/>
        <v>53.508771929824547</v>
      </c>
      <c r="F40" s="412">
        <f t="shared" si="16"/>
        <v>121.92982456140351</v>
      </c>
      <c r="G40" s="412">
        <f t="shared" si="16"/>
        <v>94.736842105263122</v>
      </c>
      <c r="H40" s="412">
        <f t="shared" si="16"/>
        <v>200</v>
      </c>
      <c r="I40" s="412">
        <f t="shared" si="16"/>
        <v>176.31578947368416</v>
      </c>
      <c r="J40" s="410"/>
    </row>
    <row r="41" spans="1:10" x14ac:dyDescent="0.25">
      <c r="A41" s="413" t="str">
        <f>K21</f>
        <v>Capital cost per operating hour (Year 1)</v>
      </c>
      <c r="B41" s="409"/>
      <c r="C41" s="409"/>
      <c r="D41" s="409"/>
      <c r="E41" s="409"/>
      <c r="F41" s="409"/>
      <c r="G41" s="409"/>
      <c r="H41" s="409"/>
      <c r="I41" s="409"/>
      <c r="J41" s="410"/>
    </row>
    <row r="42" spans="1:10" x14ac:dyDescent="0.25">
      <c r="A42" s="411" t="s">
        <v>95</v>
      </c>
      <c r="B42" s="412">
        <f t="shared" ref="B42:I42" si="17">L21</f>
        <v>41.871663685402943</v>
      </c>
      <c r="C42" s="412">
        <f t="shared" si="17"/>
        <v>57.585367922306318</v>
      </c>
      <c r="D42" s="412">
        <f t="shared" si="17"/>
        <v>83.484051363494885</v>
      </c>
      <c r="E42" s="412">
        <f t="shared" si="17"/>
        <v>55.880491354362412</v>
      </c>
      <c r="F42" s="412">
        <f t="shared" si="17"/>
        <v>123.58982508766657</v>
      </c>
      <c r="G42" s="412">
        <f t="shared" si="17"/>
        <v>79.386343003712241</v>
      </c>
      <c r="H42" s="412">
        <f t="shared" si="17"/>
        <v>236.48541219927654</v>
      </c>
      <c r="I42" s="412">
        <f t="shared" si="17"/>
        <v>238.14614710359766</v>
      </c>
      <c r="J42" s="410">
        <f>'Manual Total'!F25</f>
        <v>88.227039420503104</v>
      </c>
    </row>
    <row r="43" spans="1:10" x14ac:dyDescent="0.25">
      <c r="A43" s="411" t="s">
        <v>96</v>
      </c>
      <c r="B43" s="412">
        <f t="shared" ref="B43:I43" si="18">(L21-V21)</f>
        <v>21.69108800355016</v>
      </c>
      <c r="C43" s="412">
        <f t="shared" si="18"/>
        <v>27.998576693176837</v>
      </c>
      <c r="D43" s="412">
        <f t="shared" si="18"/>
        <v>56.697117803683085</v>
      </c>
      <c r="E43" s="412">
        <f t="shared" si="18"/>
        <v>34.34817513001434</v>
      </c>
      <c r="F43" s="412">
        <f t="shared" si="18"/>
        <v>90.175103451266807</v>
      </c>
      <c r="G43" s="412">
        <f t="shared" si="18"/>
        <v>49.507899934028828</v>
      </c>
      <c r="H43" s="412">
        <f t="shared" si="18"/>
        <v>197.09764861405338</v>
      </c>
      <c r="I43" s="412">
        <f t="shared" si="18"/>
        <v>204.81038678933587</v>
      </c>
      <c r="J43" s="410"/>
    </row>
    <row r="44" spans="1:10" x14ac:dyDescent="0.25">
      <c r="A44" s="411" t="s">
        <v>97</v>
      </c>
      <c r="B44" s="412">
        <f t="shared" ref="B44:I44" si="19">(AE21-L21)</f>
        <v>21.691088003550156</v>
      </c>
      <c r="C44" s="412">
        <f t="shared" si="19"/>
        <v>27.998576693176815</v>
      </c>
      <c r="D44" s="412">
        <f t="shared" si="19"/>
        <v>56.697117803683071</v>
      </c>
      <c r="E44" s="412">
        <f t="shared" si="19"/>
        <v>34.348175130014319</v>
      </c>
      <c r="F44" s="412">
        <f t="shared" si="19"/>
        <v>90.175103451266793</v>
      </c>
      <c r="G44" s="412">
        <f t="shared" si="19"/>
        <v>49.507899934028828</v>
      </c>
      <c r="H44" s="412">
        <f t="shared" si="19"/>
        <v>197.09764861405336</v>
      </c>
      <c r="I44" s="412">
        <f t="shared" si="19"/>
        <v>204.81038678933575</v>
      </c>
      <c r="J44" s="410"/>
    </row>
    <row r="45" spans="1:10" x14ac:dyDescent="0.25">
      <c r="A45" s="409"/>
      <c r="B45" s="409"/>
      <c r="C45" s="409"/>
      <c r="D45" s="409"/>
      <c r="E45" s="409"/>
      <c r="F45" s="409"/>
      <c r="G45" s="409"/>
      <c r="H45" s="409"/>
      <c r="I45" s="409"/>
      <c r="J45" s="410"/>
    </row>
    <row r="46" spans="1:10" x14ac:dyDescent="0.25">
      <c r="A46" s="413" t="s">
        <v>224</v>
      </c>
      <c r="B46" s="409"/>
      <c r="C46" s="409"/>
      <c r="D46" s="409"/>
      <c r="E46" s="409"/>
      <c r="F46" s="409"/>
      <c r="G46" s="409"/>
      <c r="H46" s="409"/>
      <c r="I46" s="409"/>
      <c r="J46" s="410"/>
    </row>
    <row r="47" spans="1:10" x14ac:dyDescent="0.25">
      <c r="A47" s="411" t="s">
        <v>95</v>
      </c>
      <c r="B47" s="412">
        <f t="shared" ref="B47:I47" si="20">L18/1</f>
        <v>32100000</v>
      </c>
      <c r="C47" s="412">
        <f t="shared" si="20"/>
        <v>35000000</v>
      </c>
      <c r="D47" s="412">
        <f t="shared" si="20"/>
        <v>40300000</v>
      </c>
      <c r="E47" s="412">
        <f t="shared" si="20"/>
        <v>25000000</v>
      </c>
      <c r="F47" s="412">
        <f t="shared" si="20"/>
        <v>31400000</v>
      </c>
      <c r="G47" s="412">
        <f t="shared" si="20"/>
        <v>29500000</v>
      </c>
      <c r="H47" s="412">
        <f t="shared" si="20"/>
        <v>36200000</v>
      </c>
      <c r="I47" s="412">
        <f t="shared" si="20"/>
        <v>36400000</v>
      </c>
      <c r="J47" s="410">
        <f>'Manual Total'!F26/1</f>
        <v>45184000</v>
      </c>
    </row>
    <row r="48" spans="1:10" x14ac:dyDescent="0.25">
      <c r="A48" s="411" t="s">
        <v>96</v>
      </c>
      <c r="B48" s="412">
        <f t="shared" ref="B48:I48" si="21">(L18-V18)/1</f>
        <v>2400000</v>
      </c>
      <c r="C48" s="412">
        <f t="shared" si="21"/>
        <v>3500000</v>
      </c>
      <c r="D48" s="412">
        <f t="shared" si="21"/>
        <v>7000000</v>
      </c>
      <c r="E48" s="412">
        <f t="shared" si="21"/>
        <v>2900000</v>
      </c>
      <c r="F48" s="412">
        <f t="shared" si="21"/>
        <v>6700000</v>
      </c>
      <c r="G48" s="412">
        <f t="shared" si="21"/>
        <v>6800000</v>
      </c>
      <c r="H48" s="412">
        <f t="shared" si="21"/>
        <v>10500000</v>
      </c>
      <c r="I48" s="412">
        <f t="shared" si="21"/>
        <v>10100000</v>
      </c>
      <c r="J48" s="410"/>
    </row>
    <row r="49" spans="1:20" x14ac:dyDescent="0.25">
      <c r="A49" s="411" t="s">
        <v>97</v>
      </c>
      <c r="B49" s="412">
        <f t="shared" ref="B49:I49" si="22">(AE18-L18)/1</f>
        <v>2400000</v>
      </c>
      <c r="C49" s="412">
        <f t="shared" si="22"/>
        <v>3500000</v>
      </c>
      <c r="D49" s="412">
        <f t="shared" si="22"/>
        <v>7100000</v>
      </c>
      <c r="E49" s="412">
        <f t="shared" si="22"/>
        <v>2900000</v>
      </c>
      <c r="F49" s="412">
        <f t="shared" si="22"/>
        <v>6700000</v>
      </c>
      <c r="G49" s="412">
        <f t="shared" si="22"/>
        <v>6700000</v>
      </c>
      <c r="H49" s="412">
        <f t="shared" si="22"/>
        <v>10500000</v>
      </c>
      <c r="I49" s="412">
        <f t="shared" si="22"/>
        <v>10200000</v>
      </c>
      <c r="J49" s="410"/>
    </row>
    <row r="50" spans="1:20" x14ac:dyDescent="0.25">
      <c r="A50" s="413" t="s">
        <v>225</v>
      </c>
      <c r="B50" s="409"/>
      <c r="C50" s="409"/>
      <c r="D50" s="409"/>
      <c r="E50" s="409"/>
      <c r="F50" s="409"/>
      <c r="G50" s="409"/>
      <c r="H50" s="409"/>
      <c r="I50" s="409"/>
      <c r="J50" s="410"/>
    </row>
    <row r="51" spans="1:20" x14ac:dyDescent="0.25">
      <c r="A51" s="411" t="s">
        <v>95</v>
      </c>
      <c r="B51" s="412">
        <f t="shared" ref="B51:I51" si="23">L19/1</f>
        <v>1100000</v>
      </c>
      <c r="C51" s="412">
        <f t="shared" si="23"/>
        <v>1500000</v>
      </c>
      <c r="D51" s="412">
        <f t="shared" si="23"/>
        <v>2200000</v>
      </c>
      <c r="E51" s="412">
        <f t="shared" si="23"/>
        <v>1500000</v>
      </c>
      <c r="F51" s="412">
        <f t="shared" si="23"/>
        <v>3200000</v>
      </c>
      <c r="G51" s="412">
        <f t="shared" si="23"/>
        <v>2100000</v>
      </c>
      <c r="H51" s="412">
        <f t="shared" si="23"/>
        <v>6200000</v>
      </c>
      <c r="I51" s="412">
        <f t="shared" si="23"/>
        <v>6200000</v>
      </c>
      <c r="J51" s="410">
        <f>'Manual Total'!F27/1</f>
        <v>2298787.957120805</v>
      </c>
    </row>
    <row r="52" spans="1:20" x14ac:dyDescent="0.25">
      <c r="A52" s="411" t="s">
        <v>96</v>
      </c>
      <c r="B52" s="412">
        <f t="shared" ref="B52:I52" si="24">(L19-V19)/1</f>
        <v>600000</v>
      </c>
      <c r="C52" s="412">
        <f t="shared" si="24"/>
        <v>700000</v>
      </c>
      <c r="D52" s="412">
        <f t="shared" si="24"/>
        <v>1500000</v>
      </c>
      <c r="E52" s="412">
        <f t="shared" si="24"/>
        <v>900000</v>
      </c>
      <c r="F52" s="412">
        <f t="shared" si="24"/>
        <v>2300000</v>
      </c>
      <c r="G52" s="412">
        <f t="shared" si="24"/>
        <v>1300000</v>
      </c>
      <c r="H52" s="412">
        <f t="shared" si="24"/>
        <v>5200000</v>
      </c>
      <c r="I52" s="412">
        <f t="shared" si="24"/>
        <v>5300000</v>
      </c>
      <c r="J52" s="410"/>
    </row>
    <row r="53" spans="1:20" ht="15" customHeight="1" x14ac:dyDescent="0.25">
      <c r="A53" s="411" t="s">
        <v>97</v>
      </c>
      <c r="B53" s="412">
        <f t="shared" ref="B53:I53" si="25">(AE19-L19)/1</f>
        <v>600000</v>
      </c>
      <c r="C53" s="412">
        <f t="shared" si="25"/>
        <v>700000</v>
      </c>
      <c r="D53" s="412">
        <f t="shared" si="25"/>
        <v>1500000</v>
      </c>
      <c r="E53" s="412">
        <f t="shared" si="25"/>
        <v>900000</v>
      </c>
      <c r="F53" s="412">
        <f t="shared" si="25"/>
        <v>2400000</v>
      </c>
      <c r="G53" s="412">
        <f t="shared" si="25"/>
        <v>1300000</v>
      </c>
      <c r="H53" s="412">
        <f t="shared" si="25"/>
        <v>5100000</v>
      </c>
      <c r="I53" s="412">
        <f t="shared" si="25"/>
        <v>5400000</v>
      </c>
      <c r="J53" s="410"/>
    </row>
    <row r="54" spans="1:20" ht="9.75" customHeight="1" x14ac:dyDescent="0.25">
      <c r="A54" s="409"/>
      <c r="B54" s="409"/>
      <c r="C54" s="409"/>
      <c r="D54" s="409"/>
      <c r="E54" s="409"/>
      <c r="F54" s="409"/>
      <c r="G54" s="409"/>
      <c r="H54" s="409"/>
      <c r="I54" s="409"/>
      <c r="J54" s="410"/>
    </row>
    <row r="55" spans="1:20" x14ac:dyDescent="0.25">
      <c r="A55" s="413" t="s">
        <v>101</v>
      </c>
      <c r="B55" s="414">
        <f>+B38+B42</f>
        <v>668.18745315908711</v>
      </c>
      <c r="C55" s="414">
        <f t="shared" ref="C55:I55" si="26">+C38+C42</f>
        <v>718.98887669423618</v>
      </c>
      <c r="D55" s="414">
        <f t="shared" si="26"/>
        <v>824.7121215389335</v>
      </c>
      <c r="E55" s="414">
        <f t="shared" si="26"/>
        <v>531.3190878455905</v>
      </c>
      <c r="F55" s="414">
        <f t="shared" si="26"/>
        <v>681.48456192977187</v>
      </c>
      <c r="G55" s="414">
        <f t="shared" si="26"/>
        <v>589.03546581072976</v>
      </c>
      <c r="H55" s="414">
        <f t="shared" si="26"/>
        <v>853.15207886594317</v>
      </c>
      <c r="I55" s="414">
        <f t="shared" si="26"/>
        <v>839.90053306850996</v>
      </c>
      <c r="J55" s="410">
        <f>'Manual Total'!F28</f>
        <v>896.99896924506447</v>
      </c>
    </row>
    <row r="56" spans="1:20" x14ac:dyDescent="0.25">
      <c r="A56" s="411" t="s">
        <v>102</v>
      </c>
      <c r="B56" s="415">
        <f>B39+B43</f>
        <v>79.585824845655367</v>
      </c>
      <c r="C56" s="415">
        <f>C39+C43</f>
        <v>92.910857394931242</v>
      </c>
      <c r="D56" s="415">
        <f t="shared" ref="D56:I56" si="27">D39+D43</f>
        <v>189.15325815456023</v>
      </c>
      <c r="E56" s="415">
        <f t="shared" si="27"/>
        <v>87.856947059838888</v>
      </c>
      <c r="F56" s="415">
        <f t="shared" si="27"/>
        <v>212.98212099512654</v>
      </c>
      <c r="G56" s="415">
        <f t="shared" si="27"/>
        <v>144.24474203929196</v>
      </c>
      <c r="H56" s="415">
        <f t="shared" si="27"/>
        <v>397.09764861405336</v>
      </c>
      <c r="I56" s="415">
        <f t="shared" si="27"/>
        <v>381.12617626302017</v>
      </c>
      <c r="J56" s="410"/>
    </row>
    <row r="57" spans="1:20" x14ac:dyDescent="0.25">
      <c r="A57" s="411" t="s">
        <v>97</v>
      </c>
      <c r="B57" s="415">
        <f t="shared" ref="B57" si="28">B40+B44</f>
        <v>79.58582484565548</v>
      </c>
      <c r="C57" s="415">
        <f t="shared" ref="C57" si="29">C40+C44</f>
        <v>93.788050377387336</v>
      </c>
      <c r="D57" s="415">
        <f t="shared" ref="D57:I57" si="30">D40+D44</f>
        <v>189.15325815456032</v>
      </c>
      <c r="E57" s="415">
        <f t="shared" si="30"/>
        <v>87.856947059838859</v>
      </c>
      <c r="F57" s="415">
        <f t="shared" si="30"/>
        <v>212.10492801267031</v>
      </c>
      <c r="G57" s="415">
        <f t="shared" si="30"/>
        <v>144.24474203929196</v>
      </c>
      <c r="H57" s="415">
        <f t="shared" si="30"/>
        <v>397.09764861405336</v>
      </c>
      <c r="I57" s="415">
        <f t="shared" si="30"/>
        <v>381.12617626301994</v>
      </c>
      <c r="J57" s="410"/>
    </row>
    <row r="58" spans="1:20" ht="8.25" customHeight="1" x14ac:dyDescent="0.25">
      <c r="A58" s="411"/>
      <c r="B58" s="415"/>
      <c r="C58" s="415"/>
      <c r="D58" s="415"/>
      <c r="E58" s="415"/>
      <c r="F58" s="415"/>
      <c r="G58" s="415"/>
      <c r="H58" s="415"/>
      <c r="I58" s="415"/>
      <c r="J58" s="410"/>
      <c r="L58" s="117"/>
      <c r="M58" s="117"/>
      <c r="N58" s="117"/>
      <c r="O58" s="117"/>
      <c r="P58" s="117"/>
      <c r="Q58" s="117"/>
      <c r="R58" s="117"/>
      <c r="S58" s="117"/>
      <c r="T58" s="117"/>
    </row>
    <row r="59" spans="1:20" x14ac:dyDescent="0.25">
      <c r="A59" s="413" t="s">
        <v>226</v>
      </c>
      <c r="B59" s="414">
        <f>B47+B51</f>
        <v>33200000</v>
      </c>
      <c r="C59" s="414">
        <f t="shared" ref="C59:I59" si="31">C47+C51</f>
        <v>36500000</v>
      </c>
      <c r="D59" s="414">
        <f t="shared" si="31"/>
        <v>42500000</v>
      </c>
      <c r="E59" s="414">
        <f t="shared" si="31"/>
        <v>26500000</v>
      </c>
      <c r="F59" s="414">
        <f t="shared" si="31"/>
        <v>34600000</v>
      </c>
      <c r="G59" s="414">
        <f t="shared" si="31"/>
        <v>31600000</v>
      </c>
      <c r="H59" s="414">
        <f t="shared" si="31"/>
        <v>42400000</v>
      </c>
      <c r="I59" s="414">
        <f t="shared" si="31"/>
        <v>42600000</v>
      </c>
      <c r="J59" s="410">
        <f>J47+J51</f>
        <v>47482787.957120806</v>
      </c>
    </row>
    <row r="60" spans="1:20" x14ac:dyDescent="0.25">
      <c r="A60" s="411" t="s">
        <v>102</v>
      </c>
      <c r="B60" s="415">
        <f t="shared" ref="B60" si="32">B48+B52</f>
        <v>3000000</v>
      </c>
      <c r="C60" s="415">
        <f t="shared" ref="C60" si="33">C48+C52</f>
        <v>4200000</v>
      </c>
      <c r="D60" s="415">
        <f t="shared" ref="D60:I60" si="34">D48+D52</f>
        <v>8500000</v>
      </c>
      <c r="E60" s="415">
        <f t="shared" si="34"/>
        <v>3800000</v>
      </c>
      <c r="F60" s="415">
        <f t="shared" si="34"/>
        <v>9000000</v>
      </c>
      <c r="G60" s="415">
        <f t="shared" si="34"/>
        <v>8100000</v>
      </c>
      <c r="H60" s="415">
        <f t="shared" si="34"/>
        <v>15700000</v>
      </c>
      <c r="I60" s="415">
        <f t="shared" si="34"/>
        <v>15400000</v>
      </c>
      <c r="J60" s="410"/>
    </row>
    <row r="61" spans="1:20" x14ac:dyDescent="0.25">
      <c r="A61" s="411" t="s">
        <v>97</v>
      </c>
      <c r="B61" s="412">
        <f t="shared" ref="B61" si="35">B49+B53</f>
        <v>3000000</v>
      </c>
      <c r="C61" s="412">
        <f t="shared" ref="C61" si="36">C49+C53</f>
        <v>4200000</v>
      </c>
      <c r="D61" s="412">
        <f t="shared" ref="D61:I61" si="37">D49+D53</f>
        <v>8600000</v>
      </c>
      <c r="E61" s="412">
        <f t="shared" si="37"/>
        <v>3800000</v>
      </c>
      <c r="F61" s="412">
        <f t="shared" si="37"/>
        <v>9100000</v>
      </c>
      <c r="G61" s="412">
        <f t="shared" si="37"/>
        <v>8000000</v>
      </c>
      <c r="H61" s="412">
        <f t="shared" si="37"/>
        <v>15600000</v>
      </c>
      <c r="I61" s="412">
        <f t="shared" si="37"/>
        <v>15600000</v>
      </c>
      <c r="J61" s="410"/>
    </row>
    <row r="62" spans="1:20" ht="6.75" customHeight="1" x14ac:dyDescent="0.25">
      <c r="A62" s="409"/>
      <c r="B62" s="409"/>
      <c r="C62" s="409"/>
      <c r="D62" s="409"/>
      <c r="E62" s="409"/>
      <c r="F62" s="409"/>
      <c r="G62" s="409"/>
      <c r="H62" s="409"/>
      <c r="I62" s="409"/>
      <c r="J62" s="410"/>
    </row>
    <row r="63" spans="1:20" x14ac:dyDescent="0.25">
      <c r="A63" s="403"/>
      <c r="B63" s="403" t="s">
        <v>288</v>
      </c>
      <c r="C63" s="403" t="s">
        <v>280</v>
      </c>
      <c r="D63" s="412"/>
      <c r="E63" s="412"/>
      <c r="F63" s="412"/>
      <c r="G63" s="412"/>
      <c r="H63" s="412"/>
      <c r="I63" s="412"/>
      <c r="J63" s="410"/>
    </row>
    <row r="64" spans="1:20" x14ac:dyDescent="0.25">
      <c r="A64" s="416" t="s">
        <v>239</v>
      </c>
      <c r="B64" s="417">
        <f>IF(B$36="Min",'Pax Capital'!C16,IF(C$36="Min",'Pax Capital'!D16,IF(D$36="Min",'Pax Capital'!E16,IF(E$36="Min",'Pax Capital'!F16,IF(F$36="Min",'Pax Capital'!G16,IF(G$36="Min",'Pax Capital'!H16,IF(H$36="Min",'Pax Capital'!I16,IF(I$36="Min",'Pax Capital'!J16,'Manual Capital'!C14))))))))</f>
        <v>179981.25</v>
      </c>
      <c r="C64" s="417">
        <f>IF(B$36="Min",'Pax Operate Maint'!C14,IF(C$36="Min",'Pax Operate Maint'!D14,IF(D$36="Min",'Pax Operate Maint'!E14,IF(E$36="Min",'Pax Operate Maint'!F14,IF(F$36="Min",'Pax Operate Maint'!G14,IF(G$36="Min",'Pax Operate Maint'!H14,IF(H$36="Min",'Pax Operate Maint'!I14,IF(I$36="Min",'Pax Operate Maint'!J14,SUM('Manual Oper Maint'!C14:F14)))))))))</f>
        <v>0</v>
      </c>
      <c r="D64" s="409"/>
      <c r="E64" s="409"/>
      <c r="F64" s="409"/>
      <c r="G64" s="409"/>
      <c r="H64" s="409"/>
      <c r="I64" s="409"/>
      <c r="J64" s="409"/>
    </row>
    <row r="65" spans="1:10" x14ac:dyDescent="0.25">
      <c r="A65" s="416" t="s">
        <v>240</v>
      </c>
      <c r="B65" s="417">
        <f>IF(B$36="Min",'Pax Capital'!C17,IF(C$36="Min",'Pax Capital'!D17,IF(D$36="Min",'Pax Capital'!E17,IF(E$36="Min",'Pax Capital'!F17,IF(F$36="Min",'Pax Capital'!G17,IF(G$36="Min",'Pax Capital'!H17,IF(H$36="Min",'Pax Capital'!I17,IF(I$36="Min",'Pax Capital'!J17,'Manual Capital'!C15))))))))</f>
        <v>63703.760143973152</v>
      </c>
      <c r="C65" s="417">
        <f>IF(B$36="Min",'Pax Operate Maint'!C15,IF(C$36="Min",'Pax Operate Maint'!D15,IF(D$36="Min",'Pax Operate Maint'!E15,IF(E$36="Min",'Pax Operate Maint'!F15,IF(F$36="Min",'Pax Operate Maint'!G15,IF(G$36="Min",'Pax Operate Maint'!H15,IF(H$36="Min",'Pax Operate Maint'!I15,IF(I$36="Min",'Pax Operate Maint'!J15,SUM('Manual Oper Maint'!C15:F15)))))))))</f>
        <v>542000</v>
      </c>
      <c r="D65" s="409"/>
      <c r="E65" s="409"/>
      <c r="F65" s="409"/>
      <c r="G65" s="409"/>
      <c r="H65" s="409"/>
      <c r="I65" s="409"/>
      <c r="J65" s="409"/>
    </row>
    <row r="66" spans="1:10" x14ac:dyDescent="0.25">
      <c r="A66" s="416" t="s">
        <v>241</v>
      </c>
      <c r="B66" s="417">
        <f>IF(B$36="Min",'Pax Capital'!C18,IF(C$36="Min",'Pax Capital'!D18,IF(D$36="Min",'Pax Capital'!E18,IF(E$36="Min",'Pax Capital'!F18,IF(F$36="Min",'Pax Capital'!G18,IF(G$36="Min",'Pax Capital'!H18,IF(H$36="Min",'Pax Capital'!I18,IF(I$36="Min",'Pax Capital'!J18,'Manual Capital'!C16))))))))</f>
        <v>63703.760143973152</v>
      </c>
      <c r="C66" s="417">
        <f>IF(B$36="Min",'Pax Operate Maint'!C16,IF(C$36="Min",'Pax Operate Maint'!D16,IF(D$36="Min",'Pax Operate Maint'!E16,IF(E$36="Min",'Pax Operate Maint'!F16,IF(F$36="Min",'Pax Operate Maint'!G16,IF(G$36="Min",'Pax Operate Maint'!H16,IF(H$36="Min",'Pax Operate Maint'!I16,IF(I$36="Min",'Pax Operate Maint'!J16,SUM('Manual Oper Maint'!C16:F16)))))))))</f>
        <v>563000</v>
      </c>
      <c r="D66" s="409"/>
      <c r="E66" s="409"/>
      <c r="F66" s="409"/>
      <c r="G66" s="409"/>
      <c r="H66" s="409"/>
      <c r="I66" s="409"/>
      <c r="J66" s="409"/>
    </row>
    <row r="67" spans="1:10" x14ac:dyDescent="0.25">
      <c r="A67" s="416" t="s">
        <v>242</v>
      </c>
      <c r="B67" s="417">
        <f>IF(B$36="Min",'Pax Capital'!C19,IF(C$36="Min",'Pax Capital'!D19,IF(D$36="Min",'Pax Capital'!E19,IF(E$36="Min",'Pax Capital'!F19,IF(F$36="Min",'Pax Capital'!G19,IF(G$36="Min",'Pax Capital'!H19,IF(H$36="Min",'Pax Capital'!I19,IF(I$36="Min",'Pax Capital'!J19,'Manual Capital'!C17))))))))</f>
        <v>63703.760143973152</v>
      </c>
      <c r="C67" s="417">
        <f>IF(B$36="Min",'Pax Operate Maint'!C17,IF(C$36="Min",'Pax Operate Maint'!D17,IF(D$36="Min",'Pax Operate Maint'!E17,IF(E$36="Min",'Pax Operate Maint'!F17,IF(F$36="Min",'Pax Operate Maint'!G17,IF(G$36="Min",'Pax Operate Maint'!H17,IF(H$36="Min",'Pax Operate Maint'!I17,IF(I$36="Min",'Pax Operate Maint'!J17,SUM('Manual Oper Maint'!C17:F17)))))))))</f>
        <v>585000</v>
      </c>
      <c r="D67" s="403"/>
      <c r="E67" s="403"/>
      <c r="F67" s="403"/>
      <c r="G67" s="403"/>
      <c r="H67" s="403"/>
      <c r="I67" s="403"/>
      <c r="J67" s="403"/>
    </row>
    <row r="68" spans="1:10" x14ac:dyDescent="0.25">
      <c r="A68" s="11" t="s">
        <v>243</v>
      </c>
      <c r="B68" s="355">
        <f>IF(B$36="Min",'Pax Capital'!C20,IF(C$36="Min",'Pax Capital'!D20,IF(D$36="Min",'Pax Capital'!E20,IF(E$36="Min",'Pax Capital'!F20,IF(F$36="Min",'Pax Capital'!G20,IF(G$36="Min",'Pax Capital'!H20,IF(H$36="Min",'Pax Capital'!I20,IF(I$36="Min",'Pax Capital'!J20,'Manual Capital'!C18))))))))</f>
        <v>63703.760143973152</v>
      </c>
      <c r="C68" s="355">
        <f>IF(B$36="Min",'Pax Operate Maint'!C18,IF(C$36="Min",'Pax Operate Maint'!D18,IF(D$36="Min",'Pax Operate Maint'!E18,IF(E$36="Min",'Pax Operate Maint'!F18,IF(F$36="Min",'Pax Operate Maint'!G18,IF(G$36="Min",'Pax Operate Maint'!H18,IF(H$36="Min",'Pax Operate Maint'!I18,IF(I$36="Min",'Pax Operate Maint'!J18,SUM('Manual Oper Maint'!C18:F18)))))))))</f>
        <v>608000</v>
      </c>
    </row>
    <row r="69" spans="1:10" x14ac:dyDescent="0.25">
      <c r="A69" s="11" t="s">
        <v>244</v>
      </c>
      <c r="B69" s="355">
        <f>IF(B$36="Min",'Pax Capital'!C21,IF(C$36="Min",'Pax Capital'!D21,IF(D$36="Min",'Pax Capital'!E21,IF(E$36="Min",'Pax Capital'!F21,IF(F$36="Min",'Pax Capital'!G21,IF(G$36="Min",'Pax Capital'!H21,IF(H$36="Min",'Pax Capital'!I21,IF(I$36="Min",'Pax Capital'!J21,'Manual Capital'!C19))))))))</f>
        <v>63703.760143973152</v>
      </c>
      <c r="C69" s="355">
        <f>IF(B$36="Min",'Pax Operate Maint'!C19,IF(C$36="Min",'Pax Operate Maint'!D19,IF(D$36="Min",'Pax Operate Maint'!E19,IF(E$36="Min",'Pax Operate Maint'!F19,IF(F$36="Min",'Pax Operate Maint'!G19,IF(G$36="Min",'Pax Operate Maint'!H19,IF(H$36="Min",'Pax Operate Maint'!I19,IF(I$36="Min",'Pax Operate Maint'!J19,SUM('Manual Oper Maint'!C19:F19)))))))))</f>
        <v>633000</v>
      </c>
    </row>
    <row r="70" spans="1:10" x14ac:dyDescent="0.25">
      <c r="A70" s="11" t="s">
        <v>245</v>
      </c>
      <c r="B70" s="355">
        <f>IF(B$36="Min",'Pax Capital'!C22,IF(C$36="Min",'Pax Capital'!D22,IF(D$36="Min",'Pax Capital'!E22,IF(E$36="Min",'Pax Capital'!F22,IF(F$36="Min",'Pax Capital'!G22,IF(G$36="Min",'Pax Capital'!H22,IF(H$36="Min",'Pax Capital'!I22,IF(I$36="Min",'Pax Capital'!J22,'Manual Capital'!C20))))))))</f>
        <v>63703.760143973152</v>
      </c>
      <c r="C70" s="355">
        <f>IF(B$36="Min",'Pax Operate Maint'!C20,IF(C$36="Min",'Pax Operate Maint'!D20,IF(D$36="Min",'Pax Operate Maint'!E20,IF(E$36="Min",'Pax Operate Maint'!F20,IF(F$36="Min",'Pax Operate Maint'!G20,IF(G$36="Min",'Pax Operate Maint'!H20,IF(H$36="Min",'Pax Operate Maint'!I20,IF(I$36="Min",'Pax Operate Maint'!J20,SUM('Manual Oper Maint'!C20:F20)))))))))</f>
        <v>660000</v>
      </c>
    </row>
    <row r="71" spans="1:10" x14ac:dyDescent="0.25">
      <c r="A71" s="11" t="s">
        <v>246</v>
      </c>
      <c r="B71" s="355">
        <f>IF(B$36="Min",'Pax Capital'!C23,IF(C$36="Min",'Pax Capital'!D23,IF(D$36="Min",'Pax Capital'!E23,IF(E$36="Min",'Pax Capital'!F23,IF(F$36="Min",'Pax Capital'!G23,IF(G$36="Min",'Pax Capital'!H23,IF(H$36="Min",'Pax Capital'!I23,IF(I$36="Min",'Pax Capital'!J23,'Manual Capital'!C21))))))))</f>
        <v>63703.760143973152</v>
      </c>
      <c r="C71" s="355">
        <f>IF(B$36="Min",'Pax Operate Maint'!C21,IF(C$36="Min",'Pax Operate Maint'!D21,IF(D$36="Min",'Pax Operate Maint'!E21,IF(E$36="Min",'Pax Operate Maint'!F21,IF(F$36="Min",'Pax Operate Maint'!G21,IF(G$36="Min",'Pax Operate Maint'!H21,IF(H$36="Min",'Pax Operate Maint'!I21,IF(I$36="Min",'Pax Operate Maint'!J21,SUM('Manual Oper Maint'!C21:F21)))))))))</f>
        <v>688000</v>
      </c>
    </row>
    <row r="72" spans="1:10" x14ac:dyDescent="0.25">
      <c r="A72" s="11" t="s">
        <v>247</v>
      </c>
      <c r="B72" s="355">
        <f>IF(B$36="Min",'Pax Capital'!C24,IF(C$36="Min",'Pax Capital'!D24,IF(D$36="Min",'Pax Capital'!E24,IF(E$36="Min",'Pax Capital'!F24,IF(F$36="Min",'Pax Capital'!G24,IF(G$36="Min",'Pax Capital'!H24,IF(H$36="Min",'Pax Capital'!I24,IF(I$36="Min",'Pax Capital'!J24,'Manual Capital'!C22))))))))</f>
        <v>63703.760143973152</v>
      </c>
      <c r="C72" s="355">
        <f>IF(B$36="Min",'Pax Operate Maint'!C22,IF(C$36="Min",'Pax Operate Maint'!D22,IF(D$36="Min",'Pax Operate Maint'!E22,IF(E$36="Min",'Pax Operate Maint'!F22,IF(F$36="Min",'Pax Operate Maint'!G22,IF(G$36="Min",'Pax Operate Maint'!H22,IF(H$36="Min",'Pax Operate Maint'!I22,IF(I$36="Min",'Pax Operate Maint'!J22,SUM('Manual Oper Maint'!C22:F22)))))))))</f>
        <v>719000</v>
      </c>
    </row>
    <row r="73" spans="1:10" x14ac:dyDescent="0.25">
      <c r="A73" s="11" t="s">
        <v>248</v>
      </c>
      <c r="B73" s="355">
        <f>IF(B$36="Min",'Pax Capital'!C25,IF(C$36="Min",'Pax Capital'!D25,IF(D$36="Min",'Pax Capital'!E25,IF(E$36="Min",'Pax Capital'!F25,IF(F$36="Min",'Pax Capital'!G25,IF(G$36="Min",'Pax Capital'!H25,IF(H$36="Min",'Pax Capital'!I25,IF(I$36="Min",'Pax Capital'!J25,'Manual Capital'!C23))))))))</f>
        <v>63703.760143973152</v>
      </c>
      <c r="C73" s="355">
        <f>IF(B$36="Min",'Pax Operate Maint'!C23,IF(C$36="Min",'Pax Operate Maint'!D23,IF(D$36="Min",'Pax Operate Maint'!E23,IF(E$36="Min",'Pax Operate Maint'!F23,IF(F$36="Min",'Pax Operate Maint'!G23,IF(G$36="Min",'Pax Operate Maint'!H23,IF(H$36="Min",'Pax Operate Maint'!I23,IF(I$36="Min",'Pax Operate Maint'!J23,SUM('Manual Oper Maint'!C23:F23)))))))))</f>
        <v>751000</v>
      </c>
    </row>
    <row r="74" spans="1:10" x14ac:dyDescent="0.25">
      <c r="A74" s="11" t="s">
        <v>249</v>
      </c>
      <c r="B74" s="355">
        <f>IF(B$36="Min",'Pax Capital'!C26,IF(C$36="Min",'Pax Capital'!D26,IF(D$36="Min",'Pax Capital'!E26,IF(E$36="Min",'Pax Capital'!F26,IF(F$36="Min",'Pax Capital'!G26,IF(G$36="Min",'Pax Capital'!H26,IF(H$36="Min",'Pax Capital'!I26,IF(I$36="Min",'Pax Capital'!J26,'Manual Capital'!C24))))))))</f>
        <v>63703.760143973152</v>
      </c>
      <c r="C74" s="355">
        <f>IF(B$36="Min",'Pax Operate Maint'!C24,IF(C$36="Min",'Pax Operate Maint'!D24,IF(D$36="Min",'Pax Operate Maint'!E24,IF(E$36="Min",'Pax Operate Maint'!F24,IF(F$36="Min",'Pax Operate Maint'!G24,IF(G$36="Min",'Pax Operate Maint'!H24,IF(H$36="Min",'Pax Operate Maint'!I24,IF(I$36="Min",'Pax Operate Maint'!J24,SUM('Manual Oper Maint'!C24:F24)))))))))</f>
        <v>786000</v>
      </c>
    </row>
    <row r="75" spans="1:10" x14ac:dyDescent="0.25">
      <c r="A75" s="11" t="s">
        <v>250</v>
      </c>
      <c r="B75" s="355">
        <f>IF(B$36="Min",'Pax Capital'!C27,IF(C$36="Min",'Pax Capital'!D27,IF(D$36="Min",'Pax Capital'!E27,IF(E$36="Min",'Pax Capital'!F27,IF(F$36="Min",'Pax Capital'!G27,IF(G$36="Min",'Pax Capital'!H27,IF(H$36="Min",'Pax Capital'!I27,IF(I$36="Min",'Pax Capital'!J27,'Manual Capital'!C25))))))))</f>
        <v>63703.760143973152</v>
      </c>
      <c r="C75" s="355">
        <f>IF(B$36="Min",'Pax Operate Maint'!C25,IF(C$36="Min",'Pax Operate Maint'!D25,IF(D$36="Min",'Pax Operate Maint'!E25,IF(E$36="Min",'Pax Operate Maint'!F25,IF(F$36="Min",'Pax Operate Maint'!G25,IF(G$36="Min",'Pax Operate Maint'!H25,IF(H$36="Min",'Pax Operate Maint'!I25,IF(I$36="Min",'Pax Operate Maint'!J25,SUM('Manual Oper Maint'!C25:F25)))))))))</f>
        <v>823000</v>
      </c>
    </row>
    <row r="76" spans="1:10" x14ac:dyDescent="0.25">
      <c r="A76" s="11" t="s">
        <v>251</v>
      </c>
      <c r="B76" s="355">
        <f>IF(B$36="Min",'Pax Capital'!C28,IF(C$36="Min",'Pax Capital'!D28,IF(D$36="Min",'Pax Capital'!E28,IF(E$36="Min",'Pax Capital'!F28,IF(F$36="Min",'Pax Capital'!G28,IF(G$36="Min",'Pax Capital'!H28,IF(H$36="Min",'Pax Capital'!I28,IF(I$36="Min",'Pax Capital'!J28,'Manual Capital'!C26))))))))</f>
        <v>63703.760143973152</v>
      </c>
      <c r="C76" s="355">
        <f>IF(B$36="Min",'Pax Operate Maint'!C26,IF(C$36="Min",'Pax Operate Maint'!D26,IF(D$36="Min",'Pax Operate Maint'!E26,IF(E$36="Min",'Pax Operate Maint'!F26,IF(F$36="Min",'Pax Operate Maint'!G26,IF(G$36="Min",'Pax Operate Maint'!H26,IF(H$36="Min",'Pax Operate Maint'!I26,IF(I$36="Min",'Pax Operate Maint'!J26,SUM('Manual Oper Maint'!C26:F26)))))))))</f>
        <v>864000</v>
      </c>
    </row>
    <row r="77" spans="1:10" x14ac:dyDescent="0.25">
      <c r="A77" s="11" t="s">
        <v>252</v>
      </c>
      <c r="B77" s="355">
        <f>IF(B$36="Min",'Pax Capital'!C29,IF(C$36="Min",'Pax Capital'!D29,IF(D$36="Min",'Pax Capital'!E29,IF(E$36="Min",'Pax Capital'!F29,IF(F$36="Min",'Pax Capital'!G29,IF(G$36="Min",'Pax Capital'!H29,IF(H$36="Min",'Pax Capital'!I29,IF(I$36="Min",'Pax Capital'!J29,'Manual Capital'!C27))))))))</f>
        <v>63703.760143973152</v>
      </c>
      <c r="C77" s="355">
        <f>IF(B$36="Min",'Pax Operate Maint'!C27,IF(C$36="Min",'Pax Operate Maint'!D27,IF(D$36="Min",'Pax Operate Maint'!E27,IF(E$36="Min",'Pax Operate Maint'!F27,IF(F$36="Min",'Pax Operate Maint'!G27,IF(G$36="Min",'Pax Operate Maint'!H27,IF(H$36="Min",'Pax Operate Maint'!I27,IF(I$36="Min",'Pax Operate Maint'!J27,SUM('Manual Oper Maint'!C27:F27)))))))))</f>
        <v>907000</v>
      </c>
    </row>
    <row r="78" spans="1:10" x14ac:dyDescent="0.25">
      <c r="A78" s="11" t="s">
        <v>253</v>
      </c>
      <c r="B78" s="355">
        <f>IF(B$36="Min",'Pax Capital'!C30,IF(C$36="Min",'Pax Capital'!D30,IF(D$36="Min",'Pax Capital'!E30,IF(E$36="Min",'Pax Capital'!F30,IF(F$36="Min",'Pax Capital'!G30,IF(G$36="Min",'Pax Capital'!H30,IF(H$36="Min",'Pax Capital'!I30,IF(I$36="Min",'Pax Capital'!J30,'Manual Capital'!C28))))))))</f>
        <v>63703.760143973152</v>
      </c>
      <c r="C78" s="355">
        <f>IF(B$36="Min",'Pax Operate Maint'!C28,IF(C$36="Min",'Pax Operate Maint'!D28,IF(D$36="Min",'Pax Operate Maint'!E28,IF(E$36="Min",'Pax Operate Maint'!F28,IF(F$36="Min",'Pax Operate Maint'!G28,IF(G$36="Min",'Pax Operate Maint'!H28,IF(H$36="Min",'Pax Operate Maint'!I28,IF(I$36="Min",'Pax Operate Maint'!J28,SUM('Manual Oper Maint'!C28:F28)))))))))</f>
        <v>954000</v>
      </c>
    </row>
    <row r="79" spans="1:10" x14ac:dyDescent="0.25">
      <c r="A79" s="11" t="s">
        <v>254</v>
      </c>
      <c r="B79" s="355">
        <f>IF(B$36="Min",'Pax Capital'!C31,IF(C$36="Min",'Pax Capital'!D31,IF(D$36="Min",'Pax Capital'!E31,IF(E$36="Min",'Pax Capital'!F31,IF(F$36="Min",'Pax Capital'!G31,IF(G$36="Min",'Pax Capital'!H31,IF(H$36="Min",'Pax Capital'!I31,IF(I$36="Min",'Pax Capital'!J31,'Manual Capital'!C29))))))))</f>
        <v>63703.760143973152</v>
      </c>
      <c r="C79" s="355">
        <f>IF(B$36="Min",'Pax Operate Maint'!C29,IF(C$36="Min",'Pax Operate Maint'!D29,IF(D$36="Min",'Pax Operate Maint'!E29,IF(E$36="Min",'Pax Operate Maint'!F29,IF(F$36="Min",'Pax Operate Maint'!G29,IF(G$36="Min",'Pax Operate Maint'!H29,IF(H$36="Min",'Pax Operate Maint'!I29,IF(I$36="Min",'Pax Operate Maint'!J29,SUM('Manual Oper Maint'!C29:F29)))))))))</f>
        <v>1004000</v>
      </c>
    </row>
    <row r="80" spans="1:10" x14ac:dyDescent="0.25">
      <c r="A80" s="11" t="s">
        <v>255</v>
      </c>
      <c r="B80" s="355">
        <f>IF(B$36="Min",'Pax Capital'!C32,IF(C$36="Min",'Pax Capital'!D32,IF(D$36="Min",'Pax Capital'!E32,IF(E$36="Min",'Pax Capital'!F32,IF(F$36="Min",'Pax Capital'!G32,IF(G$36="Min",'Pax Capital'!H32,IF(H$36="Min",'Pax Capital'!I32,IF(I$36="Min",'Pax Capital'!J32,'Manual Capital'!C30))))))))</f>
        <v>63703.760143973152</v>
      </c>
      <c r="C80" s="355">
        <f>IF(B$36="Min",'Pax Operate Maint'!C30,IF(C$36="Min",'Pax Operate Maint'!D30,IF(D$36="Min",'Pax Operate Maint'!E30,IF(E$36="Min",'Pax Operate Maint'!F30,IF(F$36="Min",'Pax Operate Maint'!G30,IF(G$36="Min",'Pax Operate Maint'!H30,IF(H$36="Min",'Pax Operate Maint'!I30,IF(I$36="Min",'Pax Operate Maint'!J30,SUM('Manual Oper Maint'!C30:F30)))))))))</f>
        <v>1058000</v>
      </c>
    </row>
    <row r="81" spans="1:3" x14ac:dyDescent="0.25">
      <c r="A81" s="11" t="s">
        <v>256</v>
      </c>
      <c r="B81" s="355">
        <f>IF(B$36="Min",'Pax Capital'!C33,IF(C$36="Min",'Pax Capital'!D33,IF(D$36="Min",'Pax Capital'!E33,IF(E$36="Min",'Pax Capital'!F33,IF(F$36="Min",'Pax Capital'!G33,IF(G$36="Min",'Pax Capital'!H33,IF(H$36="Min",'Pax Capital'!I33,IF(I$36="Min",'Pax Capital'!J33,'Manual Capital'!C31))))))))</f>
        <v>63703.760143973152</v>
      </c>
      <c r="C81" s="355">
        <f>IF(B$36="Min",'Pax Operate Maint'!C31,IF(C$36="Min",'Pax Operate Maint'!D31,IF(D$36="Min",'Pax Operate Maint'!E31,IF(E$36="Min",'Pax Operate Maint'!F31,IF(F$36="Min",'Pax Operate Maint'!G31,IF(G$36="Min",'Pax Operate Maint'!H31,IF(H$36="Min",'Pax Operate Maint'!I31,IF(I$36="Min",'Pax Operate Maint'!J31,SUM('Manual Oper Maint'!C31:F31)))))))))</f>
        <v>1117000</v>
      </c>
    </row>
    <row r="82" spans="1:3" x14ac:dyDescent="0.25">
      <c r="A82" s="11" t="s">
        <v>257</v>
      </c>
      <c r="B82" s="355">
        <f>IF(B$36="Min",'Pax Capital'!C34,IF(C$36="Min",'Pax Capital'!D34,IF(D$36="Min",'Pax Capital'!E34,IF(E$36="Min",'Pax Capital'!F34,IF(F$36="Min",'Pax Capital'!G34,IF(G$36="Min",'Pax Capital'!H34,IF(H$36="Min",'Pax Capital'!I34,IF(I$36="Min",'Pax Capital'!J34,'Manual Capital'!C32))))))))</f>
        <v>63703.760143973152</v>
      </c>
      <c r="C82" s="355">
        <f>IF(B$36="Min",'Pax Operate Maint'!C32,IF(C$36="Min",'Pax Operate Maint'!D32,IF(D$36="Min",'Pax Operate Maint'!E32,IF(E$36="Min",'Pax Operate Maint'!F32,IF(F$36="Min",'Pax Operate Maint'!G32,IF(G$36="Min",'Pax Operate Maint'!H32,IF(H$36="Min",'Pax Operate Maint'!I32,IF(I$36="Min",'Pax Operate Maint'!J32,SUM('Manual Oper Maint'!C32:F32)))))))))</f>
        <v>1180000</v>
      </c>
    </row>
    <row r="83" spans="1:3" x14ac:dyDescent="0.25">
      <c r="A83" s="11" t="s">
        <v>258</v>
      </c>
      <c r="B83" s="355">
        <f>IF(B$36="Min",'Pax Capital'!C35,IF(C$36="Min",'Pax Capital'!D35,IF(D$36="Min",'Pax Capital'!E35,IF(E$36="Min",'Pax Capital'!F35,IF(F$36="Min",'Pax Capital'!G35,IF(G$36="Min",'Pax Capital'!H35,IF(H$36="Min",'Pax Capital'!I35,IF(I$36="Min",'Pax Capital'!J35,'Manual Capital'!C33))))))))</f>
        <v>63703.760143973152</v>
      </c>
      <c r="C83" s="355">
        <f>IF(B$36="Min",'Pax Operate Maint'!C33,IF(C$36="Min",'Pax Operate Maint'!D33,IF(D$36="Min",'Pax Operate Maint'!E33,IF(E$36="Min",'Pax Operate Maint'!F33,IF(F$36="Min",'Pax Operate Maint'!G33,IF(G$36="Min",'Pax Operate Maint'!H33,IF(H$36="Min",'Pax Operate Maint'!I33,IF(I$36="Min",'Pax Operate Maint'!J33,SUM('Manual Oper Maint'!C33:F33)))))))))</f>
        <v>1249000</v>
      </c>
    </row>
    <row r="84" spans="1:3" x14ac:dyDescent="0.25">
      <c r="A84" s="11" t="s">
        <v>259</v>
      </c>
      <c r="B84" s="355">
        <f>IF(B$36="Min",'Pax Capital'!C36,IF(C$36="Min",'Pax Capital'!D36,IF(D$36="Min",'Pax Capital'!E36,IF(E$36="Min",'Pax Capital'!F36,IF(F$36="Min",'Pax Capital'!G36,IF(G$36="Min",'Pax Capital'!H36,IF(H$36="Min",'Pax Capital'!I36,IF(I$36="Min",'Pax Capital'!J36,'Manual Capital'!C34))))))))</f>
        <v>63703.760143973152</v>
      </c>
      <c r="C84" s="355">
        <f>IF(B$36="Min",'Pax Operate Maint'!C34,IF(C$36="Min",'Pax Operate Maint'!D34,IF(D$36="Min",'Pax Operate Maint'!E34,IF(E$36="Min",'Pax Operate Maint'!F34,IF(F$36="Min",'Pax Operate Maint'!G34,IF(G$36="Min",'Pax Operate Maint'!H34,IF(H$36="Min",'Pax Operate Maint'!I34,IF(I$36="Min",'Pax Operate Maint'!J34,SUM('Manual Oper Maint'!C34:F34)))))))))</f>
        <v>1323000</v>
      </c>
    </row>
    <row r="85" spans="1:3" x14ac:dyDescent="0.25">
      <c r="A85" s="11" t="s">
        <v>260</v>
      </c>
      <c r="B85" s="355">
        <f>IF(B$36="Min",'Pax Capital'!C37,IF(C$36="Min",'Pax Capital'!D37,IF(D$36="Min",'Pax Capital'!E37,IF(E$36="Min",'Pax Capital'!F37,IF(F$36="Min",'Pax Capital'!G37,IF(G$36="Min",'Pax Capital'!H37,IF(H$36="Min",'Pax Capital'!I37,IF(I$36="Min",'Pax Capital'!J37,'Manual Capital'!C35))))))))</f>
        <v>0</v>
      </c>
      <c r="C85" s="355">
        <f>IF(B$36="Min",'Pax Operate Maint'!C35,IF(C$36="Min",'Pax Operate Maint'!D35,IF(D$36="Min",'Pax Operate Maint'!E35,IF(E$36="Min",'Pax Operate Maint'!F35,IF(F$36="Min",'Pax Operate Maint'!G35,IF(G$36="Min",'Pax Operate Maint'!H35,IF(H$36="Min",'Pax Operate Maint'!I35,IF(I$36="Min",'Pax Operate Maint'!J35,SUM('Manual Oper Maint'!C35:F35)))))))))</f>
        <v>1404000</v>
      </c>
    </row>
    <row r="86" spans="1:3" x14ac:dyDescent="0.25">
      <c r="A86" s="11" t="s">
        <v>261</v>
      </c>
      <c r="B86" s="355">
        <f>IF(B$36="Min",'Pax Capital'!C38,IF(C$36="Min",'Pax Capital'!D38,IF(D$36="Min",'Pax Capital'!E38,IF(E$36="Min",'Pax Capital'!F38,IF(F$36="Min",'Pax Capital'!G38,IF(G$36="Min",'Pax Capital'!H38,IF(H$36="Min",'Pax Capital'!I38,IF(I$36="Min",'Pax Capital'!J38,'Manual Capital'!C36))))))))</f>
        <v>0</v>
      </c>
      <c r="C86" s="355">
        <f>IF(B$36="Min",'Pax Operate Maint'!C36,IF(C$36="Min",'Pax Operate Maint'!D36,IF(D$36="Min",'Pax Operate Maint'!E36,IF(E$36="Min",'Pax Operate Maint'!F36,IF(F$36="Min",'Pax Operate Maint'!G36,IF(G$36="Min",'Pax Operate Maint'!H36,IF(H$36="Min",'Pax Operate Maint'!I36,IF(I$36="Min",'Pax Operate Maint'!J36,SUM('Manual Oper Maint'!C36:F36)))))))))</f>
        <v>1491000</v>
      </c>
    </row>
    <row r="87" spans="1:3" x14ac:dyDescent="0.25">
      <c r="A87" s="11" t="s">
        <v>262</v>
      </c>
      <c r="B87" s="355">
        <f>IF(B$36="Min",'Pax Capital'!C39,IF(C$36="Min",'Pax Capital'!D39,IF(D$36="Min",'Pax Capital'!E39,IF(E$36="Min",'Pax Capital'!F39,IF(F$36="Min",'Pax Capital'!G39,IF(G$36="Min",'Pax Capital'!H39,IF(H$36="Min",'Pax Capital'!I39,IF(I$36="Min",'Pax Capital'!J39,'Manual Capital'!C37))))))))</f>
        <v>0</v>
      </c>
      <c r="C87" s="355">
        <f>IF(B$36="Min",'Pax Operate Maint'!C37,IF(C$36="Min",'Pax Operate Maint'!D37,IF(D$36="Min",'Pax Operate Maint'!E37,IF(E$36="Min",'Pax Operate Maint'!F37,IF(F$36="Min",'Pax Operate Maint'!G37,IF(G$36="Min",'Pax Operate Maint'!H37,IF(H$36="Min",'Pax Operate Maint'!I37,IF(I$36="Min",'Pax Operate Maint'!J37,SUM('Manual Oper Maint'!C37:F37)))))))))</f>
        <v>1586000</v>
      </c>
    </row>
    <row r="88" spans="1:3" x14ac:dyDescent="0.25">
      <c r="A88" s="11" t="s">
        <v>263</v>
      </c>
      <c r="B88" s="355">
        <f>IF(B$36="Min",'Pax Capital'!C40,IF(C$36="Min",'Pax Capital'!D40,IF(D$36="Min",'Pax Capital'!E40,IF(E$36="Min",'Pax Capital'!F40,IF(F$36="Min",'Pax Capital'!G40,IF(G$36="Min",'Pax Capital'!H40,IF(H$36="Min",'Pax Capital'!I40,IF(I$36="Min",'Pax Capital'!J40,'Manual Capital'!C38))))))))</f>
        <v>0</v>
      </c>
      <c r="C88" s="355">
        <f>IF(B$36="Min",'Pax Operate Maint'!C38,IF(C$36="Min",'Pax Operate Maint'!D38,IF(D$36="Min",'Pax Operate Maint'!E38,IF(E$36="Min",'Pax Operate Maint'!F38,IF(F$36="Min",'Pax Operate Maint'!G38,IF(G$36="Min",'Pax Operate Maint'!H38,IF(H$36="Min",'Pax Operate Maint'!I38,IF(I$36="Min",'Pax Operate Maint'!J38,SUM('Manual Oper Maint'!C38:F38)))))))))</f>
        <v>1690000</v>
      </c>
    </row>
    <row r="89" spans="1:3" x14ac:dyDescent="0.25">
      <c r="A89" s="11" t="s">
        <v>264</v>
      </c>
      <c r="B89" s="355">
        <f>IF(B$36="Min",'Pax Capital'!C41,IF(C$36="Min",'Pax Capital'!D41,IF(D$36="Min",'Pax Capital'!E41,IF(E$36="Min",'Pax Capital'!F41,IF(F$36="Min",'Pax Capital'!G41,IF(G$36="Min",'Pax Capital'!H41,IF(H$36="Min",'Pax Capital'!I41,IF(I$36="Min",'Pax Capital'!J41,'Manual Capital'!C39))))))))</f>
        <v>0</v>
      </c>
      <c r="C89" s="355">
        <f>IF(B$36="Min",'Pax Operate Maint'!C39,IF(C$36="Min",'Pax Operate Maint'!D39,IF(D$36="Min",'Pax Operate Maint'!E39,IF(E$36="Min",'Pax Operate Maint'!F39,IF(F$36="Min",'Pax Operate Maint'!G39,IF(G$36="Min",'Pax Operate Maint'!H39,IF(H$36="Min",'Pax Operate Maint'!I39,IF(I$36="Min",'Pax Operate Maint'!J39,SUM('Manual Oper Maint'!C39:F39)))))))))</f>
        <v>1802000</v>
      </c>
    </row>
  </sheetData>
  <sheetProtection password="EF95" sheet="1" objects="1" scenarios="1"/>
  <mergeCells count="1">
    <mergeCell ref="T5:T9"/>
  </mergeCells>
  <pageMargins left="0.2" right="0.2" top="0.5" bottom="0.25" header="0.3" footer="0.3"/>
  <pageSetup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Layout" zoomScale="90" zoomScaleNormal="100" zoomScalePageLayoutView="90" workbookViewId="0">
      <selection sqref="A1:I4"/>
    </sheetView>
  </sheetViews>
  <sheetFormatPr defaultRowHeight="15" x14ac:dyDescent="0.25"/>
  <cols>
    <col min="1" max="1" width="28.85546875" customWidth="1"/>
    <col min="2" max="3" width="12.140625" customWidth="1"/>
    <col min="4" max="4" width="12.7109375" customWidth="1"/>
    <col min="5" max="5" width="12.140625" customWidth="1"/>
    <col min="6" max="6" width="12.42578125" customWidth="1"/>
    <col min="7" max="7" width="13.42578125" customWidth="1"/>
    <col min="8" max="8" width="15.140625" bestFit="1" customWidth="1"/>
    <col min="9" max="9" width="13.5703125" customWidth="1"/>
    <col min="10" max="10" width="13.42578125" customWidth="1"/>
    <col min="11" max="11" width="13.28515625" customWidth="1"/>
    <col min="12" max="12" width="13.5703125" customWidth="1"/>
    <col min="13" max="13" width="13.85546875" customWidth="1"/>
    <col min="14" max="14" width="12.140625" bestFit="1" customWidth="1"/>
    <col min="15" max="15" width="11.85546875" bestFit="1" customWidth="1"/>
    <col min="16" max="16" width="14.28515625" bestFit="1" customWidth="1"/>
    <col min="17" max="18" width="12.7109375" customWidth="1"/>
  </cols>
  <sheetData>
    <row r="1" spans="1:9" ht="18.75" customHeight="1" x14ac:dyDescent="0.25">
      <c r="A1" s="424" t="s">
        <v>192</v>
      </c>
      <c r="B1" s="425"/>
      <c r="C1" s="425"/>
      <c r="D1" s="425"/>
    </row>
    <row r="2" spans="1:9" x14ac:dyDescent="0.25">
      <c r="A2" s="18"/>
      <c r="B2" s="432" t="s">
        <v>48</v>
      </c>
      <c r="C2" s="433"/>
      <c r="D2" s="433"/>
      <c r="E2" s="433"/>
      <c r="F2" s="433"/>
      <c r="G2" s="433"/>
      <c r="H2" s="433"/>
      <c r="I2" s="434"/>
    </row>
    <row r="3" spans="1:9" ht="15" customHeight="1" x14ac:dyDescent="0.25">
      <c r="A3" s="19"/>
      <c r="B3" s="42" t="str">
        <f>'Vessel Data'!C3</f>
        <v>12-30 Pax Skiff</v>
      </c>
      <c r="C3" s="42" t="str">
        <f>'Vessel Data'!D3</f>
        <v>31-50 Pax Pontoon</v>
      </c>
      <c r="D3" s="42" t="str">
        <f>'Vessel Data'!E3</f>
        <v>31-50 Pax Mono or Cat</v>
      </c>
      <c r="E3" s="42" t="str">
        <f>'Vessel Data'!F3</f>
        <v>51-100 Pax, &lt;20kt</v>
      </c>
      <c r="F3" s="42" t="str">
        <f>'Vessel Data'!G3</f>
        <v>51-100 Pax, &gt;20kt</v>
      </c>
      <c r="G3" s="42" t="str">
        <f>'Vessel Data'!H3</f>
        <v>101-150 Pax, &lt;20kt</v>
      </c>
      <c r="H3" s="42" t="str">
        <f>'Vessel Data'!I3</f>
        <v>101-150 Pax, &gt;20kt</v>
      </c>
      <c r="I3" s="42" t="str">
        <f>'Vessel Data'!J3</f>
        <v>151-300 Pax</v>
      </c>
    </row>
    <row r="4" spans="1:9" ht="15" customHeight="1" x14ac:dyDescent="0.25">
      <c r="A4" s="55" t="s">
        <v>82</v>
      </c>
      <c r="B4" s="399"/>
      <c r="C4" s="399"/>
      <c r="D4" s="399"/>
      <c r="E4" s="399"/>
      <c r="F4" s="399"/>
      <c r="G4" s="399"/>
      <c r="H4" s="399"/>
      <c r="I4" s="400"/>
    </row>
    <row r="5" spans="1:9" ht="15" customHeight="1" x14ac:dyDescent="0.25">
      <c r="A5" s="123" t="s">
        <v>121</v>
      </c>
      <c r="B5" s="363"/>
      <c r="C5" s="363"/>
      <c r="D5" s="363"/>
      <c r="E5" s="363"/>
      <c r="F5" s="363"/>
      <c r="G5" s="363"/>
      <c r="H5" s="363"/>
      <c r="I5" s="363"/>
    </row>
    <row r="6" spans="1:9" ht="15" customHeight="1" x14ac:dyDescent="0.25">
      <c r="A6" s="22" t="s">
        <v>122</v>
      </c>
      <c r="B6" s="399"/>
      <c r="C6" s="399"/>
      <c r="D6" s="399"/>
      <c r="E6" s="399">
        <v>8</v>
      </c>
      <c r="F6" s="399"/>
      <c r="G6" s="399"/>
      <c r="H6" s="399"/>
      <c r="I6" s="400"/>
    </row>
    <row r="7" spans="1:9" ht="15" customHeight="1" x14ac:dyDescent="0.25">
      <c r="A7" s="153" t="s">
        <v>13</v>
      </c>
      <c r="B7" s="154" t="str">
        <f>IF(B6&lt;1," ",B37*B6)</f>
        <v xml:space="preserve"> </v>
      </c>
      <c r="C7" s="154" t="str">
        <f t="shared" ref="C7:I7" si="0">IF(C6&lt;1," ",C37*C6)</f>
        <v xml:space="preserve"> </v>
      </c>
      <c r="D7" s="154" t="str">
        <f t="shared" si="0"/>
        <v xml:space="preserve"> </v>
      </c>
      <c r="E7" s="154">
        <f t="shared" si="0"/>
        <v>730.37463976945241</v>
      </c>
      <c r="F7" s="154" t="str">
        <f t="shared" si="0"/>
        <v xml:space="preserve"> </v>
      </c>
      <c r="G7" s="154" t="str">
        <f t="shared" si="0"/>
        <v xml:space="preserve"> </v>
      </c>
      <c r="H7" s="154" t="str">
        <f t="shared" si="0"/>
        <v xml:space="preserve"> </v>
      </c>
      <c r="I7" s="154" t="str">
        <f t="shared" si="0"/>
        <v xml:space="preserve"> </v>
      </c>
    </row>
    <row r="8" spans="1:9" ht="15" customHeight="1" x14ac:dyDescent="0.25">
      <c r="A8" s="153" t="s">
        <v>165</v>
      </c>
      <c r="B8" s="188" t="str">
        <f>IF(SUM(B7:I7)&gt;E8,"yes","no")</f>
        <v>yes</v>
      </c>
      <c r="C8" s="155"/>
      <c r="D8" s="155" t="s">
        <v>166</v>
      </c>
      <c r="E8" s="155">
        <f>'User Inputs'!B9</f>
        <v>300</v>
      </c>
      <c r="F8" s="155"/>
      <c r="G8" s="155"/>
      <c r="H8" s="155"/>
      <c r="I8" s="155"/>
    </row>
    <row r="9" spans="1:9" ht="15" customHeight="1" x14ac:dyDescent="0.25">
      <c r="A9" s="123" t="s">
        <v>125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5">
      <c r="A10" s="22" t="s">
        <v>122</v>
      </c>
      <c r="B10" s="399"/>
      <c r="C10" s="399"/>
      <c r="D10" s="399"/>
      <c r="E10" s="399">
        <v>4</v>
      </c>
      <c r="F10" s="399"/>
      <c r="G10" s="399"/>
      <c r="H10" s="399"/>
      <c r="I10" s="400"/>
    </row>
    <row r="11" spans="1:9" ht="15" customHeight="1" x14ac:dyDescent="0.25">
      <c r="A11" s="153" t="s">
        <v>13</v>
      </c>
      <c r="B11" s="154" t="str">
        <f t="shared" ref="B11:I11" si="1">IF(B10&lt;1," ",B$37*B10)</f>
        <v xml:space="preserve"> </v>
      </c>
      <c r="C11" s="154" t="str">
        <f t="shared" si="1"/>
        <v xml:space="preserve"> </v>
      </c>
      <c r="D11" s="154" t="str">
        <f t="shared" si="1"/>
        <v xml:space="preserve"> </v>
      </c>
      <c r="E11" s="154">
        <f t="shared" si="1"/>
        <v>365.18731988472621</v>
      </c>
      <c r="F11" s="154" t="str">
        <f t="shared" si="1"/>
        <v xml:space="preserve"> </v>
      </c>
      <c r="G11" s="154" t="str">
        <f t="shared" si="1"/>
        <v xml:space="preserve"> </v>
      </c>
      <c r="H11" s="154" t="str">
        <f t="shared" si="1"/>
        <v xml:space="preserve"> </v>
      </c>
      <c r="I11" s="154" t="str">
        <f t="shared" si="1"/>
        <v xml:space="preserve"> </v>
      </c>
    </row>
    <row r="12" spans="1:9" ht="15" customHeight="1" x14ac:dyDescent="0.25">
      <c r="A12" s="153" t="s">
        <v>165</v>
      </c>
      <c r="B12" s="188" t="str">
        <f>IF(SUM(B11:I11)&gt;E12,"yes","no")</f>
        <v>yes</v>
      </c>
      <c r="C12" s="155"/>
      <c r="D12" s="155" t="s">
        <v>166</v>
      </c>
      <c r="E12" s="155">
        <f>'User Inputs'!B9/2</f>
        <v>150</v>
      </c>
      <c r="F12" s="155"/>
      <c r="G12" s="155"/>
      <c r="H12" s="155"/>
      <c r="I12" s="155"/>
    </row>
    <row r="13" spans="1:9" ht="15" customHeight="1" x14ac:dyDescent="0.25">
      <c r="A13" s="123" t="s">
        <v>126</v>
      </c>
      <c r="B13" s="11"/>
      <c r="C13" s="11"/>
      <c r="D13" s="11"/>
      <c r="E13" s="11"/>
      <c r="F13" s="11"/>
      <c r="G13" s="11"/>
      <c r="H13" s="11"/>
      <c r="I13" s="11"/>
    </row>
    <row r="14" spans="1:9" ht="15" customHeight="1" x14ac:dyDescent="0.25">
      <c r="A14" s="22" t="s">
        <v>122</v>
      </c>
      <c r="B14" s="399"/>
      <c r="C14" s="399"/>
      <c r="D14" s="399"/>
      <c r="E14" s="399">
        <v>4</v>
      </c>
      <c r="F14" s="399"/>
      <c r="G14" s="399"/>
      <c r="H14" s="399"/>
      <c r="I14" s="400"/>
    </row>
    <row r="15" spans="1:9" ht="15" customHeight="1" x14ac:dyDescent="0.25">
      <c r="A15" s="153" t="s">
        <v>13</v>
      </c>
      <c r="B15" s="154" t="str">
        <f t="shared" ref="B15:I15" si="2">IF(B14&lt;1," ",B$37*B14)</f>
        <v xml:space="preserve"> </v>
      </c>
      <c r="C15" s="154" t="str">
        <f t="shared" si="2"/>
        <v xml:space="preserve"> </v>
      </c>
      <c r="D15" s="154" t="str">
        <f t="shared" si="2"/>
        <v xml:space="preserve"> </v>
      </c>
      <c r="E15" s="154">
        <f t="shared" si="2"/>
        <v>365.18731988472621</v>
      </c>
      <c r="F15" s="154" t="str">
        <f t="shared" si="2"/>
        <v xml:space="preserve"> </v>
      </c>
      <c r="G15" s="154" t="str">
        <f t="shared" si="2"/>
        <v xml:space="preserve"> </v>
      </c>
      <c r="H15" s="154" t="str">
        <f t="shared" si="2"/>
        <v xml:space="preserve"> </v>
      </c>
      <c r="I15" s="154" t="str">
        <f t="shared" si="2"/>
        <v xml:space="preserve"> </v>
      </c>
    </row>
    <row r="16" spans="1:9" ht="15" customHeight="1" x14ac:dyDescent="0.25">
      <c r="A16" s="153" t="s">
        <v>165</v>
      </c>
      <c r="B16" s="188" t="str">
        <f>IF(SUM(B15:I15)&gt;E16,"yes","no")</f>
        <v>yes</v>
      </c>
      <c r="C16" s="155"/>
      <c r="D16" s="155" t="s">
        <v>166</v>
      </c>
      <c r="E16" s="155">
        <f>'User Inputs'!B14</f>
        <v>100</v>
      </c>
      <c r="F16" s="155"/>
      <c r="G16" s="155"/>
      <c r="H16" s="155"/>
      <c r="I16" s="155"/>
    </row>
    <row r="17" spans="1:9" ht="15" customHeight="1" x14ac:dyDescent="0.25">
      <c r="A17" s="123" t="s">
        <v>127</v>
      </c>
      <c r="B17" s="11"/>
      <c r="C17" s="11"/>
      <c r="D17" s="11"/>
      <c r="E17" s="11"/>
      <c r="F17" s="11"/>
      <c r="G17" s="11"/>
      <c r="H17" s="11"/>
      <c r="I17" s="11"/>
    </row>
    <row r="18" spans="1:9" ht="15" customHeight="1" x14ac:dyDescent="0.25">
      <c r="A18" s="22" t="s">
        <v>122</v>
      </c>
      <c r="B18" s="399"/>
      <c r="C18" s="399"/>
      <c r="D18" s="399"/>
      <c r="E18" s="399">
        <v>2</v>
      </c>
      <c r="F18" s="399"/>
      <c r="G18" s="399"/>
      <c r="H18" s="399"/>
      <c r="I18" s="400"/>
    </row>
    <row r="19" spans="1:9" ht="15" customHeight="1" x14ac:dyDescent="0.25">
      <c r="A19" s="153" t="s">
        <v>13</v>
      </c>
      <c r="B19" s="154" t="str">
        <f t="shared" ref="B19:I19" si="3">IF(B18&lt;1," ",B$37*B18)</f>
        <v xml:space="preserve"> </v>
      </c>
      <c r="C19" s="154" t="str">
        <f t="shared" si="3"/>
        <v xml:space="preserve"> </v>
      </c>
      <c r="D19" s="154" t="str">
        <f t="shared" si="3"/>
        <v xml:space="preserve"> </v>
      </c>
      <c r="E19" s="154">
        <f t="shared" si="3"/>
        <v>182.5936599423631</v>
      </c>
      <c r="F19" s="154" t="str">
        <f t="shared" si="3"/>
        <v xml:space="preserve"> </v>
      </c>
      <c r="G19" s="154" t="str">
        <f t="shared" si="3"/>
        <v xml:space="preserve"> </v>
      </c>
      <c r="H19" s="154" t="str">
        <f t="shared" si="3"/>
        <v xml:space="preserve"> </v>
      </c>
      <c r="I19" s="154" t="str">
        <f t="shared" si="3"/>
        <v xml:space="preserve"> </v>
      </c>
    </row>
    <row r="20" spans="1:9" ht="15" customHeight="1" x14ac:dyDescent="0.25">
      <c r="A20" s="153" t="s">
        <v>165</v>
      </c>
      <c r="B20" s="188" t="str">
        <f>IF(SUM(B19:I19)&gt;E20,"yes","no")</f>
        <v>yes</v>
      </c>
      <c r="C20" s="155"/>
      <c r="D20" s="155" t="s">
        <v>166</v>
      </c>
      <c r="E20" s="155">
        <f>'User Inputs'!B14/2</f>
        <v>50</v>
      </c>
      <c r="F20" s="155"/>
      <c r="G20" s="155"/>
      <c r="H20" s="155"/>
      <c r="I20" s="155"/>
    </row>
    <row r="21" spans="1:9" ht="15" customHeight="1" x14ac:dyDescent="0.25">
      <c r="A21" s="162"/>
      <c r="B21" s="150"/>
      <c r="C21" s="150"/>
      <c r="D21" s="150"/>
      <c r="E21" s="150"/>
      <c r="F21" s="150"/>
      <c r="G21" s="150"/>
      <c r="H21" s="150"/>
      <c r="I21" s="151"/>
    </row>
    <row r="22" spans="1:9" x14ac:dyDescent="0.25">
      <c r="A22" s="52" t="s">
        <v>28</v>
      </c>
      <c r="B22" s="37"/>
      <c r="C22" s="150"/>
      <c r="D22" s="150"/>
      <c r="E22" s="150"/>
      <c r="F22" s="150"/>
      <c r="G22" s="150"/>
      <c r="H22" s="150"/>
      <c r="I22" s="151"/>
    </row>
    <row r="23" spans="1:9" s="9" customFormat="1" x14ac:dyDescent="0.25">
      <c r="A23" s="156" t="s">
        <v>79</v>
      </c>
      <c r="B23" s="157">
        <f>SUM(B39:I39)</f>
        <v>6120</v>
      </c>
      <c r="C23" s="150"/>
      <c r="D23" s="150"/>
      <c r="E23" s="150"/>
      <c r="F23" s="150"/>
      <c r="G23" s="150"/>
      <c r="H23" s="150"/>
      <c r="I23" s="151"/>
    </row>
    <row r="24" spans="1:9" x14ac:dyDescent="0.25">
      <c r="A24" s="22" t="s">
        <v>164</v>
      </c>
      <c r="B24" s="157">
        <f>SUM(B40:I40)</f>
        <v>16</v>
      </c>
      <c r="C24" s="159"/>
      <c r="D24" s="159"/>
      <c r="E24" s="159"/>
      <c r="F24" s="159"/>
      <c r="G24" s="159"/>
      <c r="H24" s="159"/>
      <c r="I24" s="159"/>
    </row>
    <row r="25" spans="1:9" x14ac:dyDescent="0.25">
      <c r="A25" s="40" t="s">
        <v>85</v>
      </c>
      <c r="B25" s="157">
        <f>SUM(B41:I41)</f>
        <v>1489500</v>
      </c>
      <c r="C25" s="159"/>
      <c r="D25" s="159"/>
      <c r="E25" s="159"/>
      <c r="F25" s="159"/>
      <c r="G25" s="159"/>
      <c r="H25" s="159"/>
      <c r="I25" s="159"/>
    </row>
    <row r="26" spans="1:9" x14ac:dyDescent="0.25">
      <c r="A26" s="40" t="s">
        <v>86</v>
      </c>
      <c r="B26" s="157">
        <f>SUM(B42:I42)</f>
        <v>6620000</v>
      </c>
      <c r="C26" s="159"/>
      <c r="D26" s="159"/>
      <c r="E26" s="159"/>
      <c r="F26" s="159"/>
      <c r="G26" s="159"/>
      <c r="H26" s="159"/>
      <c r="I26" s="159"/>
    </row>
    <row r="27" spans="1:9" x14ac:dyDescent="0.25">
      <c r="A27" s="90" t="s">
        <v>87</v>
      </c>
      <c r="B27" s="157">
        <f>SUM(B43:I43)</f>
        <v>4054750</v>
      </c>
      <c r="C27" s="158"/>
      <c r="D27" s="158"/>
      <c r="E27" s="158"/>
      <c r="F27" s="158"/>
      <c r="G27" s="158"/>
      <c r="H27" s="158"/>
      <c r="I27" s="158"/>
    </row>
    <row r="28" spans="1:9" s="161" customFormat="1" x14ac:dyDescent="0.25">
      <c r="A28" s="160"/>
      <c r="B28" s="158"/>
      <c r="C28" s="158"/>
      <c r="D28" s="158"/>
      <c r="E28" s="158"/>
      <c r="F28" s="158"/>
      <c r="G28" s="158"/>
      <c r="H28" s="158"/>
      <c r="I28" s="158"/>
    </row>
    <row r="29" spans="1:9" x14ac:dyDescent="0.25">
      <c r="A29" s="52" t="s">
        <v>26</v>
      </c>
      <c r="B29" s="20"/>
      <c r="C29" s="20"/>
      <c r="D29" s="20"/>
      <c r="E29" s="20"/>
      <c r="F29" s="20"/>
      <c r="G29" s="20"/>
      <c r="H29" s="20"/>
      <c r="I29" s="21"/>
    </row>
    <row r="30" spans="1:9" x14ac:dyDescent="0.25">
      <c r="A30" s="55" t="s">
        <v>22</v>
      </c>
      <c r="B30" s="85" t="str">
        <f>IF((B6+B4)&lt;1," ",AVERAGE('Vessel Data'!C5:C6)*'User Inputs'!$E$2)</f>
        <v xml:space="preserve"> </v>
      </c>
      <c r="C30" s="85" t="str">
        <f>IF((C6+C4)&lt;1," ",AVERAGE('Vessel Data'!D5:D6)*'User Inputs'!$E$2)</f>
        <v xml:space="preserve"> </v>
      </c>
      <c r="D30" s="85" t="str">
        <f>IF((D6+D4)&lt;1," ",AVERAGE('Vessel Data'!E5:E6)*'User Inputs'!$E$2)</f>
        <v xml:space="preserve"> </v>
      </c>
      <c r="E30" s="85">
        <f>IF((E6+E4)&lt;1," ",AVERAGE('Vessel Data'!F5:F6)*'User Inputs'!$E$2)</f>
        <v>12</v>
      </c>
      <c r="F30" s="85" t="str">
        <f>IF((F6+F4)&lt;1," ",AVERAGE('Vessel Data'!G5:G6)*'User Inputs'!$E$2)</f>
        <v xml:space="preserve"> </v>
      </c>
      <c r="G30" s="85" t="str">
        <f>IF((G6+G4)&lt;1," ",AVERAGE('Vessel Data'!H5:H6)*'User Inputs'!$E$2)</f>
        <v xml:space="preserve"> </v>
      </c>
      <c r="H30" s="85" t="str">
        <f>IF((H6+H4)&lt;1," ",AVERAGE('Vessel Data'!I5:I6)*'User Inputs'!$E$2)</f>
        <v xml:space="preserve"> </v>
      </c>
      <c r="I30" s="85" t="str">
        <f>IF((I6+I4)&lt;1," ",AVERAGE('Vessel Data'!J5:J6)*'User Inputs'!$E$2)</f>
        <v xml:space="preserve"> </v>
      </c>
    </row>
    <row r="31" spans="1:9" x14ac:dyDescent="0.25">
      <c r="A31" s="55" t="s">
        <v>27</v>
      </c>
      <c r="B31" s="85" t="str">
        <f>IF((B6+B4)&lt;1," ",AVERAGE('Vessel Data'!C9:C10))</f>
        <v xml:space="preserve"> </v>
      </c>
      <c r="C31" s="85" t="str">
        <f>IF((C6+C4)&lt;1," ",AVERAGE('Vessel Data'!D9:D10))</f>
        <v xml:space="preserve"> </v>
      </c>
      <c r="D31" s="85" t="str">
        <f>IF((D6+D4)&lt;1," ",AVERAGE('Vessel Data'!E9:E10))</f>
        <v xml:space="preserve"> </v>
      </c>
      <c r="E31" s="85">
        <f>IF((E6+E4)&lt;1," ",AVERAGE('Vessel Data'!F9:F10))</f>
        <v>75.5</v>
      </c>
      <c r="F31" s="85" t="str">
        <f>IF((F6+F4)&lt;1," ",AVERAGE('Vessel Data'!G9:G10))</f>
        <v xml:space="preserve"> </v>
      </c>
      <c r="G31" s="85" t="str">
        <f>IF((G6+G4)&lt;1," ",AVERAGE('Vessel Data'!H9:H10))</f>
        <v xml:space="preserve"> </v>
      </c>
      <c r="H31" s="85" t="str">
        <f>IF((H6+H4)&lt;1," ",AVERAGE('Vessel Data'!I9:I10))</f>
        <v xml:space="preserve"> </v>
      </c>
      <c r="I31" s="85" t="str">
        <f>IF((I6+I4)&lt;1," ",AVERAGE('Vessel Data'!J9:J10))</f>
        <v xml:space="preserve"> </v>
      </c>
    </row>
    <row r="32" spans="1:9" x14ac:dyDescent="0.25">
      <c r="A32" s="55" t="s">
        <v>9</v>
      </c>
      <c r="B32" s="86" t="str">
        <f>IF((B6+B4)&lt;1," ",'Vessel Data'!C19)</f>
        <v xml:space="preserve"> </v>
      </c>
      <c r="C32" s="86" t="str">
        <f>IF((C6+C4)&lt;1," ",'Vessel Data'!D19)</f>
        <v xml:space="preserve"> </v>
      </c>
      <c r="D32" s="86" t="str">
        <f>IF((D6+D4)&lt;1," ",'Vessel Data'!E19)</f>
        <v xml:space="preserve"> </v>
      </c>
      <c r="E32" s="86">
        <f>IF((E6+E4)&lt;1," ",'Vessel Data'!F19)</f>
        <v>2</v>
      </c>
      <c r="F32" s="86" t="str">
        <f>IF((F6+F4)&lt;1," ",'Vessel Data'!G19)</f>
        <v xml:space="preserve"> </v>
      </c>
      <c r="G32" s="86" t="str">
        <f>IF((G6+G4)&lt;1," ",'Vessel Data'!H19)</f>
        <v xml:space="preserve"> </v>
      </c>
      <c r="H32" s="86" t="str">
        <f>IF((H6+H4)&lt;1," ",'Vessel Data'!I19)</f>
        <v xml:space="preserve"> </v>
      </c>
      <c r="I32" s="86" t="str">
        <f>IF((I6+I4)&lt;1," ",'Vessel Data'!J19)</f>
        <v xml:space="preserve"> </v>
      </c>
    </row>
    <row r="33" spans="1:9" x14ac:dyDescent="0.25">
      <c r="A33" s="55" t="s">
        <v>83</v>
      </c>
      <c r="B33" s="89" t="str">
        <f>IF(B32=" "," ",'Vessel Data'!C23*(1-'User Inputs'!$E11*'User Inputs'!$E23))</f>
        <v xml:space="preserve"> </v>
      </c>
      <c r="C33" s="89" t="str">
        <f>IF(C32=" "," ",'Vessel Data'!D23*(1-'User Inputs'!$E11*'User Inputs'!$E23))</f>
        <v xml:space="preserve"> </v>
      </c>
      <c r="D33" s="89" t="str">
        <f>IF(D32=" "," ",'Vessel Data'!E23*(1-'User Inputs'!$E11*'User Inputs'!$E23))</f>
        <v xml:space="preserve"> </v>
      </c>
      <c r="E33" s="89">
        <f>IF(E32=" "," ",'Vessel Data'!F23*(1-'User Inputs'!$E11*'User Inputs'!$E23))</f>
        <v>186187.5</v>
      </c>
      <c r="F33" s="89" t="str">
        <f>IF(F32=" "," ",'Vessel Data'!G23*(1-'User Inputs'!$E11*'User Inputs'!$E23))</f>
        <v xml:space="preserve"> </v>
      </c>
      <c r="G33" s="89" t="str">
        <f>IF(G32=" "," ",'Vessel Data'!H23*(1-'User Inputs'!$E11*'User Inputs'!$E23))</f>
        <v xml:space="preserve"> </v>
      </c>
      <c r="H33" s="89" t="str">
        <f>IF(H32=" "," ",'Vessel Data'!I23*(1-'User Inputs'!$E11*'User Inputs'!$E23))</f>
        <v xml:space="preserve"> </v>
      </c>
      <c r="I33" s="89" t="str">
        <f>IF(I32=" "," ",'Vessel Data'!J23*(1-'User Inputs'!$E11*'User Inputs'!$E23))</f>
        <v xml:space="preserve"> </v>
      </c>
    </row>
    <row r="34" spans="1:9" x14ac:dyDescent="0.25">
      <c r="A34" s="55" t="s">
        <v>84</v>
      </c>
      <c r="B34" s="89" t="str">
        <f>IF(B33=" "," ",'Vessel Data'!C24*(1-'User Inputs'!$E11*'User Inputs'!$E23))</f>
        <v xml:space="preserve"> </v>
      </c>
      <c r="C34" s="89" t="str">
        <f>IF(C33=" "," ",'Vessel Data'!D24*(1-'User Inputs'!$E11*'User Inputs'!$E23))</f>
        <v xml:space="preserve"> </v>
      </c>
      <c r="D34" s="89" t="str">
        <f>IF(D33=" "," ",'Vessel Data'!E24*(1-'User Inputs'!$E11*'User Inputs'!$E23))</f>
        <v xml:space="preserve"> </v>
      </c>
      <c r="E34" s="89">
        <f>IF(E33=" "," ",'Vessel Data'!F24*(1-'User Inputs'!$E11*'User Inputs'!$E23))</f>
        <v>827500</v>
      </c>
      <c r="F34" s="89" t="str">
        <f>IF(F33=" "," ",'Vessel Data'!G24*(1-'User Inputs'!$E11*'User Inputs'!$E23))</f>
        <v xml:space="preserve"> </v>
      </c>
      <c r="G34" s="89" t="str">
        <f>IF(G33=" "," ",'Vessel Data'!H24*(1-'User Inputs'!$E11*'User Inputs'!$E23))</f>
        <v xml:space="preserve"> </v>
      </c>
      <c r="H34" s="89" t="str">
        <f>IF(H33=" "," ",'Vessel Data'!I24*(1-'User Inputs'!$E11*'User Inputs'!$E23))</f>
        <v xml:space="preserve"> </v>
      </c>
      <c r="I34" s="89" t="str">
        <f>IF(I33=" "," ",'Vessel Data'!J24*(1-'User Inputs'!$E11*'User Inputs'!$E23))</f>
        <v xml:space="preserve"> </v>
      </c>
    </row>
    <row r="35" spans="1:9" x14ac:dyDescent="0.25">
      <c r="A35" s="55" t="s">
        <v>10</v>
      </c>
      <c r="B35" s="87" t="str">
        <f>IF((B6+B4)&lt;1," ",AVERAGE(B33:B34))</f>
        <v xml:space="preserve"> </v>
      </c>
      <c r="C35" s="87" t="str">
        <f t="shared" ref="C35:I35" si="4">IF((C6+C4)&lt;1," ",AVERAGE(C33:C34))</f>
        <v xml:space="preserve"> </v>
      </c>
      <c r="D35" s="87" t="str">
        <f t="shared" si="4"/>
        <v xml:space="preserve"> </v>
      </c>
      <c r="E35" s="87">
        <f t="shared" si="4"/>
        <v>506843.75</v>
      </c>
      <c r="F35" s="87" t="str">
        <f t="shared" si="4"/>
        <v xml:space="preserve"> </v>
      </c>
      <c r="G35" s="87" t="str">
        <f t="shared" si="4"/>
        <v xml:space="preserve"> </v>
      </c>
      <c r="H35" s="87" t="str">
        <f t="shared" si="4"/>
        <v xml:space="preserve"> </v>
      </c>
      <c r="I35" s="87" t="str">
        <f t="shared" si="4"/>
        <v xml:space="preserve"> </v>
      </c>
    </row>
    <row r="36" spans="1:9" x14ac:dyDescent="0.25">
      <c r="A36" s="55" t="s">
        <v>8</v>
      </c>
      <c r="B36" s="13" t="str">
        <f>IF((B6+B4)&lt;1," ",'Vessel Data'!C49)</f>
        <v xml:space="preserve"> </v>
      </c>
      <c r="C36" s="13" t="str">
        <f>IF((C6+C4)&lt;1," ",'Vessel Data'!D49)</f>
        <v xml:space="preserve"> </v>
      </c>
      <c r="D36" s="13" t="str">
        <f>IF((D6+D4)&lt;1," ",'Vessel Data'!E49)</f>
        <v xml:space="preserve"> </v>
      </c>
      <c r="E36" s="13">
        <f>IF((E6+E4)&lt;1," ",'Vessel Data'!F49)</f>
        <v>65.0625</v>
      </c>
      <c r="F36" s="13" t="str">
        <f>IF((F6+F4)&lt;1," ",'Vessel Data'!G49)</f>
        <v xml:space="preserve"> </v>
      </c>
      <c r="G36" s="13" t="str">
        <f>IF((G6+G4)&lt;1," ",'Vessel Data'!H49)</f>
        <v xml:space="preserve"> </v>
      </c>
      <c r="H36" s="13" t="str">
        <f>IF((H6+H4)&lt;1," ",'Vessel Data'!I49)</f>
        <v xml:space="preserve"> </v>
      </c>
      <c r="I36" s="13" t="str">
        <f>IF((I6+I4)&lt;1," ",'Vessel Data'!J49)</f>
        <v xml:space="preserve"> </v>
      </c>
    </row>
    <row r="37" spans="1:9" x14ac:dyDescent="0.25">
      <c r="A37" s="55" t="s">
        <v>71</v>
      </c>
      <c r="B37" s="13" t="str">
        <f>IF((B6+B4)&lt;1," ",AVERAGE('Pax Service Overview'!B10))</f>
        <v xml:space="preserve"> </v>
      </c>
      <c r="C37" s="13" t="str">
        <f>IF((C6+C4)&lt;1," ",AVERAGE('Pax Service Overview'!C10))</f>
        <v xml:space="preserve"> </v>
      </c>
      <c r="D37" s="13" t="str">
        <f>IF((D6+D4)&lt;1," ",AVERAGE('Pax Service Overview'!D10))</f>
        <v xml:space="preserve"> </v>
      </c>
      <c r="E37" s="13">
        <f>IF((E6+E4)&lt;1," ",AVERAGE('Pax Service Overview'!E10))</f>
        <v>91.296829971181552</v>
      </c>
      <c r="F37" s="13" t="str">
        <f>IF((F6+F4)&lt;1," ",AVERAGE('Pax Service Overview'!F10))</f>
        <v xml:space="preserve"> </v>
      </c>
      <c r="G37" s="13" t="str">
        <f>IF((G6+G4)&lt;1," ",AVERAGE('Pax Service Overview'!G10))</f>
        <v xml:space="preserve"> </v>
      </c>
      <c r="H37" s="13" t="str">
        <f>IF((H6+H4)&lt;1," ",AVERAGE('Pax Service Overview'!H10))</f>
        <v xml:space="preserve"> </v>
      </c>
      <c r="I37" s="13" t="str">
        <f>IF((I6+I4)&lt;1," ",AVERAGE('Pax Service Overview'!I10))</f>
        <v xml:space="preserve"> </v>
      </c>
    </row>
    <row r="38" spans="1:9" x14ac:dyDescent="0.25">
      <c r="A38" s="55" t="s">
        <v>124</v>
      </c>
      <c r="B38" s="13">
        <f t="shared" ref="B38:I39" si="5">SUM(B63,B58,B53,B48)</f>
        <v>0</v>
      </c>
      <c r="C38" s="13">
        <f t="shared" si="5"/>
        <v>0</v>
      </c>
      <c r="D38" s="13">
        <f t="shared" si="5"/>
        <v>0</v>
      </c>
      <c r="E38" s="13">
        <f t="shared" si="5"/>
        <v>1140</v>
      </c>
      <c r="F38" s="13">
        <f t="shared" si="5"/>
        <v>0</v>
      </c>
      <c r="G38" s="13">
        <f t="shared" si="5"/>
        <v>0</v>
      </c>
      <c r="H38" s="13">
        <f t="shared" si="5"/>
        <v>0</v>
      </c>
      <c r="I38" s="13">
        <f t="shared" si="5"/>
        <v>0</v>
      </c>
    </row>
    <row r="39" spans="1:9" s="9" customFormat="1" x14ac:dyDescent="0.25">
      <c r="A39" s="55" t="s">
        <v>29</v>
      </c>
      <c r="B39" s="13">
        <f t="shared" si="5"/>
        <v>0</v>
      </c>
      <c r="C39" s="13">
        <f t="shared" si="5"/>
        <v>0</v>
      </c>
      <c r="D39" s="13">
        <f t="shared" si="5"/>
        <v>0</v>
      </c>
      <c r="E39" s="13">
        <f t="shared" si="5"/>
        <v>6120</v>
      </c>
      <c r="F39" s="13">
        <f t="shared" si="5"/>
        <v>0</v>
      </c>
      <c r="G39" s="13">
        <f t="shared" si="5"/>
        <v>0</v>
      </c>
      <c r="H39" s="13">
        <f t="shared" si="5"/>
        <v>0</v>
      </c>
      <c r="I39" s="13">
        <f t="shared" si="5"/>
        <v>0</v>
      </c>
    </row>
    <row r="40" spans="1:9" x14ac:dyDescent="0.25">
      <c r="A40" s="55" t="s">
        <v>164</v>
      </c>
      <c r="B40" s="13" t="str">
        <f t="shared" ref="B40:I40" si="6">IF((B6)&lt;1," ",B6*B32)</f>
        <v xml:space="preserve"> </v>
      </c>
      <c r="C40" s="13" t="str">
        <f t="shared" si="6"/>
        <v xml:space="preserve"> </v>
      </c>
      <c r="D40" s="13" t="str">
        <f t="shared" si="6"/>
        <v xml:space="preserve"> </v>
      </c>
      <c r="E40" s="13">
        <f t="shared" si="6"/>
        <v>16</v>
      </c>
      <c r="F40" s="13" t="str">
        <f t="shared" si="6"/>
        <v xml:space="preserve"> </v>
      </c>
      <c r="G40" s="13" t="str">
        <f t="shared" si="6"/>
        <v xml:space="preserve"> </v>
      </c>
      <c r="H40" s="13" t="str">
        <f t="shared" si="6"/>
        <v xml:space="preserve"> </v>
      </c>
      <c r="I40" s="13" t="str">
        <f t="shared" si="6"/>
        <v xml:space="preserve"> </v>
      </c>
    </row>
    <row r="41" spans="1:9" x14ac:dyDescent="0.25">
      <c r="A41" s="55" t="s">
        <v>85</v>
      </c>
      <c r="B41" s="13" t="str">
        <f t="shared" ref="B41:I41" si="7">IF((B6+B4)&lt;1," ",B33*(B6+B4))</f>
        <v xml:space="preserve"> </v>
      </c>
      <c r="C41" s="13" t="str">
        <f t="shared" si="7"/>
        <v xml:space="preserve"> </v>
      </c>
      <c r="D41" s="13" t="str">
        <f t="shared" si="7"/>
        <v xml:space="preserve"> </v>
      </c>
      <c r="E41" s="13">
        <f t="shared" si="7"/>
        <v>1489500</v>
      </c>
      <c r="F41" s="13" t="str">
        <f t="shared" si="7"/>
        <v xml:space="preserve"> </v>
      </c>
      <c r="G41" s="13" t="str">
        <f t="shared" si="7"/>
        <v xml:space="preserve"> </v>
      </c>
      <c r="H41" s="13" t="str">
        <f t="shared" si="7"/>
        <v xml:space="preserve"> </v>
      </c>
      <c r="I41" s="13" t="str">
        <f t="shared" si="7"/>
        <v xml:space="preserve"> </v>
      </c>
    </row>
    <row r="42" spans="1:9" x14ac:dyDescent="0.25">
      <c r="A42" s="55" t="s">
        <v>86</v>
      </c>
      <c r="B42" s="13" t="str">
        <f t="shared" ref="B42:I42" si="8">IF((B4+B6)&lt;1," ",B34*(B4+B6))</f>
        <v xml:space="preserve"> </v>
      </c>
      <c r="C42" s="13" t="str">
        <f t="shared" si="8"/>
        <v xml:space="preserve"> </v>
      </c>
      <c r="D42" s="13" t="str">
        <f t="shared" si="8"/>
        <v xml:space="preserve"> </v>
      </c>
      <c r="E42" s="13">
        <f t="shared" si="8"/>
        <v>6620000</v>
      </c>
      <c r="F42" s="13" t="str">
        <f t="shared" si="8"/>
        <v xml:space="preserve"> </v>
      </c>
      <c r="G42" s="13" t="str">
        <f t="shared" si="8"/>
        <v xml:space="preserve"> </v>
      </c>
      <c r="H42" s="13" t="str">
        <f t="shared" si="8"/>
        <v xml:space="preserve"> </v>
      </c>
      <c r="I42" s="13" t="str">
        <f t="shared" si="8"/>
        <v xml:space="preserve"> </v>
      </c>
    </row>
    <row r="43" spans="1:9" x14ac:dyDescent="0.25">
      <c r="A43" s="55" t="s">
        <v>87</v>
      </c>
      <c r="B43" s="13" t="str">
        <f t="shared" ref="B43:I43" si="9">IF((B6+B4)&lt;1," ",AVERAGE(B41:B42))</f>
        <v xml:space="preserve"> </v>
      </c>
      <c r="C43" s="13" t="str">
        <f t="shared" si="9"/>
        <v xml:space="preserve"> </v>
      </c>
      <c r="D43" s="13" t="str">
        <f t="shared" si="9"/>
        <v xml:space="preserve"> </v>
      </c>
      <c r="E43" s="13">
        <f t="shared" si="9"/>
        <v>4054750</v>
      </c>
      <c r="F43" s="13" t="str">
        <f t="shared" si="9"/>
        <v xml:space="preserve"> </v>
      </c>
      <c r="G43" s="13" t="str">
        <f t="shared" si="9"/>
        <v xml:space="preserve"> </v>
      </c>
      <c r="H43" s="13" t="str">
        <f t="shared" si="9"/>
        <v xml:space="preserve"> </v>
      </c>
      <c r="I43" s="13" t="str">
        <f t="shared" si="9"/>
        <v xml:space="preserve"> </v>
      </c>
    </row>
    <row r="44" spans="1:9" ht="13.5" customHeight="1" x14ac:dyDescent="0.25">
      <c r="A44" s="152"/>
      <c r="B44" s="117"/>
      <c r="C44" s="117"/>
      <c r="D44" s="117" t="str">
        <f t="shared" ref="D44:I44" si="10">IF(D31=MAX($B31:$I31),"first"," ")</f>
        <v xml:space="preserve"> </v>
      </c>
      <c r="E44" s="117"/>
      <c r="F44" s="117" t="str">
        <f t="shared" si="10"/>
        <v xml:space="preserve"> </v>
      </c>
      <c r="G44" s="117" t="str">
        <f t="shared" si="10"/>
        <v xml:space="preserve"> </v>
      </c>
      <c r="H44" s="117" t="str">
        <f t="shared" si="10"/>
        <v xml:space="preserve"> </v>
      </c>
      <c r="I44" s="117" t="str">
        <f t="shared" si="10"/>
        <v xml:space="preserve"> </v>
      </c>
    </row>
    <row r="45" spans="1:9" s="9" customFormat="1" x14ac:dyDescent="0.25">
      <c r="A45" s="163" t="s">
        <v>121</v>
      </c>
    </row>
    <row r="46" spans="1:9" x14ac:dyDescent="0.25">
      <c r="A46" s="55" t="s">
        <v>123</v>
      </c>
      <c r="B46" s="29" t="str">
        <f t="shared" ref="B46:I46" si="11">IF(B6&lt;1," ",B6*B$32)</f>
        <v xml:space="preserve"> </v>
      </c>
      <c r="C46" s="29" t="str">
        <f t="shared" si="11"/>
        <v xml:space="preserve"> </v>
      </c>
      <c r="D46" s="29" t="str">
        <f t="shared" si="11"/>
        <v xml:space="preserve"> </v>
      </c>
      <c r="E46" s="29">
        <f t="shared" si="11"/>
        <v>16</v>
      </c>
      <c r="F46" s="29" t="str">
        <f t="shared" si="11"/>
        <v xml:space="preserve"> </v>
      </c>
      <c r="G46" s="29" t="str">
        <f t="shared" si="11"/>
        <v xml:space="preserve"> </v>
      </c>
      <c r="H46" s="29" t="str">
        <f t="shared" si="11"/>
        <v xml:space="preserve"> </v>
      </c>
      <c r="I46" s="29" t="str">
        <f t="shared" si="11"/>
        <v xml:space="preserve"> </v>
      </c>
    </row>
    <row r="47" spans="1:9" x14ac:dyDescent="0.25">
      <c r="A47" s="55" t="s">
        <v>12</v>
      </c>
      <c r="B47" s="28" t="str">
        <f t="shared" ref="B47:I47" si="12">IF(B6&lt;1," ",B$36/B6)</f>
        <v xml:space="preserve"> </v>
      </c>
      <c r="C47" s="28" t="str">
        <f t="shared" si="12"/>
        <v xml:space="preserve"> </v>
      </c>
      <c r="D47" s="28" t="str">
        <f t="shared" si="12"/>
        <v xml:space="preserve"> </v>
      </c>
      <c r="E47" s="28">
        <f t="shared" si="12"/>
        <v>8.1328125</v>
      </c>
      <c r="F47" s="28" t="str">
        <f t="shared" si="12"/>
        <v xml:space="preserve"> </v>
      </c>
      <c r="G47" s="28" t="str">
        <f t="shared" si="12"/>
        <v xml:space="preserve"> </v>
      </c>
      <c r="H47" s="28" t="str">
        <f t="shared" si="12"/>
        <v xml:space="preserve"> </v>
      </c>
      <c r="I47" s="28" t="str">
        <f t="shared" si="12"/>
        <v xml:space="preserve"> </v>
      </c>
    </row>
    <row r="48" spans="1:9" x14ac:dyDescent="0.25">
      <c r="A48" s="55" t="s">
        <v>124</v>
      </c>
      <c r="B48" s="149" t="str">
        <f>IF((B6+B4)&lt;1," ",'User Inputs'!$B$8*'User Inputs'!$B$11/2)</f>
        <v xml:space="preserve"> </v>
      </c>
      <c r="C48" s="149" t="str">
        <f>IF((C6+C4)&lt;1," ",'User Inputs'!$B$8*'User Inputs'!$B$11/2)</f>
        <v xml:space="preserve"> </v>
      </c>
      <c r="D48" s="149" t="str">
        <f>IF((D6+D4)&lt;1," ",'User Inputs'!$B$8*'User Inputs'!$B$11/2)</f>
        <v xml:space="preserve"> </v>
      </c>
      <c r="E48" s="149">
        <f>IF((E6+E4)&lt;1," ",'User Inputs'!$B$8*'User Inputs'!$B$11/2)</f>
        <v>450</v>
      </c>
      <c r="F48" s="149" t="str">
        <f>IF((F6+F4)&lt;1," ",'User Inputs'!$B$8*'User Inputs'!$B$11/2)</f>
        <v xml:space="preserve"> </v>
      </c>
      <c r="G48" s="149" t="str">
        <f>IF((G6+G4)&lt;1," ",'User Inputs'!$B$8*'User Inputs'!$B$11/2)</f>
        <v xml:space="preserve"> </v>
      </c>
      <c r="H48" s="149" t="str">
        <f>IF((H6+H4)&lt;1," ",'User Inputs'!$B$8*'User Inputs'!$B$11/2)</f>
        <v xml:space="preserve"> </v>
      </c>
      <c r="I48" s="149" t="str">
        <f>IF((I6+I4)&lt;1," ",'User Inputs'!$B$8*'User Inputs'!$B$11/2)</f>
        <v xml:space="preserve"> </v>
      </c>
    </row>
    <row r="49" spans="1:9" x14ac:dyDescent="0.25">
      <c r="A49" s="55" t="s">
        <v>29</v>
      </c>
      <c r="B49" s="149" t="str">
        <f t="shared" ref="B49:I49" si="13">IF((B6+B4)&lt;1," ",B48*B6)</f>
        <v xml:space="preserve"> </v>
      </c>
      <c r="C49" s="149" t="str">
        <f t="shared" si="13"/>
        <v xml:space="preserve"> </v>
      </c>
      <c r="D49" s="149" t="str">
        <f t="shared" si="13"/>
        <v xml:space="preserve"> </v>
      </c>
      <c r="E49" s="149">
        <f t="shared" si="13"/>
        <v>3600</v>
      </c>
      <c r="F49" s="149" t="str">
        <f t="shared" si="13"/>
        <v xml:space="preserve"> </v>
      </c>
      <c r="G49" s="149" t="str">
        <f t="shared" si="13"/>
        <v xml:space="preserve"> </v>
      </c>
      <c r="H49" s="149" t="str">
        <f t="shared" si="13"/>
        <v xml:space="preserve"> </v>
      </c>
      <c r="I49" s="149" t="str">
        <f t="shared" si="13"/>
        <v xml:space="preserve"> </v>
      </c>
    </row>
    <row r="50" spans="1:9" x14ac:dyDescent="0.25">
      <c r="A50" s="163" t="s">
        <v>125</v>
      </c>
    </row>
    <row r="51" spans="1:9" x14ac:dyDescent="0.25">
      <c r="A51" s="55" t="s">
        <v>123</v>
      </c>
      <c r="B51" s="29" t="str">
        <f t="shared" ref="B51:I51" si="14">IF(B10&lt;1," ",B10*B$32)</f>
        <v xml:space="preserve"> </v>
      </c>
      <c r="C51" s="29" t="str">
        <f t="shared" si="14"/>
        <v xml:space="preserve"> </v>
      </c>
      <c r="D51" s="29" t="str">
        <f t="shared" si="14"/>
        <v xml:space="preserve"> </v>
      </c>
      <c r="E51" s="29">
        <f t="shared" si="14"/>
        <v>8</v>
      </c>
      <c r="F51" s="29" t="str">
        <f t="shared" si="14"/>
        <v xml:space="preserve"> </v>
      </c>
      <c r="G51" s="29" t="str">
        <f t="shared" si="14"/>
        <v xml:space="preserve"> </v>
      </c>
      <c r="H51" s="29" t="str">
        <f t="shared" si="14"/>
        <v xml:space="preserve"> </v>
      </c>
      <c r="I51" s="29" t="str">
        <f t="shared" si="14"/>
        <v xml:space="preserve"> </v>
      </c>
    </row>
    <row r="52" spans="1:9" x14ac:dyDescent="0.25">
      <c r="A52" s="55" t="s">
        <v>12</v>
      </c>
      <c r="B52" s="28" t="str">
        <f t="shared" ref="B52:I52" si="15">IF((B10)&lt;1," ",B$36/B10)</f>
        <v xml:space="preserve"> </v>
      </c>
      <c r="C52" s="28" t="str">
        <f t="shared" si="15"/>
        <v xml:space="preserve"> </v>
      </c>
      <c r="D52" s="28" t="str">
        <f t="shared" si="15"/>
        <v xml:space="preserve"> </v>
      </c>
      <c r="E52" s="28">
        <f t="shared" si="15"/>
        <v>16.265625</v>
      </c>
      <c r="F52" s="28" t="str">
        <f t="shared" si="15"/>
        <v xml:space="preserve"> </v>
      </c>
      <c r="G52" s="28" t="str">
        <f t="shared" si="15"/>
        <v xml:space="preserve"> </v>
      </c>
      <c r="H52" s="28" t="str">
        <f t="shared" si="15"/>
        <v xml:space="preserve"> </v>
      </c>
      <c r="I52" s="28" t="str">
        <f t="shared" si="15"/>
        <v xml:space="preserve"> </v>
      </c>
    </row>
    <row r="53" spans="1:9" x14ac:dyDescent="0.25">
      <c r="A53" s="55" t="s">
        <v>124</v>
      </c>
      <c r="B53" s="149" t="str">
        <f>IF((B10)&lt;1," ",'User Inputs'!$B$8*'User Inputs'!$B$11/2)</f>
        <v xml:space="preserve"> </v>
      </c>
      <c r="C53" s="149" t="str">
        <f>IF((C10)&lt;1," ",'User Inputs'!$B$8*'User Inputs'!$B$11/2)</f>
        <v xml:space="preserve"> </v>
      </c>
      <c r="D53" s="149" t="str">
        <f>IF((D10)&lt;1," ",'User Inputs'!$B$8*'User Inputs'!$B$11/2)</f>
        <v xml:space="preserve"> </v>
      </c>
      <c r="E53" s="149">
        <f>IF((E10)&lt;1," ",'User Inputs'!$B$8*'User Inputs'!$B$11/2)</f>
        <v>450</v>
      </c>
      <c r="F53" s="149" t="str">
        <f>IF((F10)&lt;1," ",'User Inputs'!$B$8*'User Inputs'!$B$11/2)</f>
        <v xml:space="preserve"> </v>
      </c>
      <c r="G53" s="149" t="str">
        <f>IF((G10)&lt;1," ",'User Inputs'!$B$8*'User Inputs'!$B$11/2)</f>
        <v xml:space="preserve"> </v>
      </c>
      <c r="H53" s="149" t="str">
        <f>IF((H10)&lt;1," ",'User Inputs'!$B$8*'User Inputs'!$B$11/2)</f>
        <v xml:space="preserve"> </v>
      </c>
      <c r="I53" s="149" t="str">
        <f>IF((I10)&lt;1," ",'User Inputs'!$B$8*'User Inputs'!$B$11/2)</f>
        <v xml:space="preserve"> </v>
      </c>
    </row>
    <row r="54" spans="1:9" x14ac:dyDescent="0.25">
      <c r="A54" s="55" t="s">
        <v>29</v>
      </c>
      <c r="B54" s="149" t="str">
        <f t="shared" ref="B54:I54" si="16">IF((B10)&lt;1," ",B53*B10)</f>
        <v xml:space="preserve"> </v>
      </c>
      <c r="C54" s="149" t="str">
        <f t="shared" si="16"/>
        <v xml:space="preserve"> </v>
      </c>
      <c r="D54" s="149" t="str">
        <f t="shared" si="16"/>
        <v xml:space="preserve"> </v>
      </c>
      <c r="E54" s="149">
        <f t="shared" si="16"/>
        <v>1800</v>
      </c>
      <c r="F54" s="149" t="str">
        <f t="shared" si="16"/>
        <v xml:space="preserve"> </v>
      </c>
      <c r="G54" s="149" t="str">
        <f t="shared" si="16"/>
        <v xml:space="preserve"> </v>
      </c>
      <c r="H54" s="149" t="str">
        <f t="shared" si="16"/>
        <v xml:space="preserve"> </v>
      </c>
      <c r="I54" s="149" t="str">
        <f t="shared" si="16"/>
        <v xml:space="preserve"> </v>
      </c>
    </row>
    <row r="55" spans="1:9" x14ac:dyDescent="0.25">
      <c r="A55" s="163" t="s">
        <v>126</v>
      </c>
    </row>
    <row r="56" spans="1:9" x14ac:dyDescent="0.25">
      <c r="A56" s="55" t="s">
        <v>123</v>
      </c>
      <c r="B56" s="29" t="str">
        <f t="shared" ref="B56:I56" si="17">IF(B14&lt;1," ",B14*B$32)</f>
        <v xml:space="preserve"> </v>
      </c>
      <c r="C56" s="29" t="str">
        <f t="shared" si="17"/>
        <v xml:space="preserve"> </v>
      </c>
      <c r="D56" s="29" t="str">
        <f t="shared" si="17"/>
        <v xml:space="preserve"> </v>
      </c>
      <c r="E56" s="29">
        <f t="shared" si="17"/>
        <v>8</v>
      </c>
      <c r="F56" s="29" t="str">
        <f t="shared" si="17"/>
        <v xml:space="preserve"> </v>
      </c>
      <c r="G56" s="29" t="str">
        <f t="shared" si="17"/>
        <v xml:space="preserve"> </v>
      </c>
      <c r="H56" s="29" t="str">
        <f t="shared" si="17"/>
        <v xml:space="preserve"> </v>
      </c>
      <c r="I56" s="29" t="str">
        <f t="shared" si="17"/>
        <v xml:space="preserve"> </v>
      </c>
    </row>
    <row r="57" spans="1:9" x14ac:dyDescent="0.25">
      <c r="A57" s="55" t="s">
        <v>12</v>
      </c>
      <c r="B57" s="28" t="str">
        <f t="shared" ref="B57:I57" si="18">IF((B14)&lt;1," ",B$36/B14)</f>
        <v xml:space="preserve"> </v>
      </c>
      <c r="C57" s="28" t="str">
        <f t="shared" si="18"/>
        <v xml:space="preserve"> </v>
      </c>
      <c r="D57" s="28" t="str">
        <f t="shared" si="18"/>
        <v xml:space="preserve"> </v>
      </c>
      <c r="E57" s="28">
        <f t="shared" si="18"/>
        <v>16.265625</v>
      </c>
      <c r="F57" s="28" t="str">
        <f t="shared" si="18"/>
        <v xml:space="preserve"> </v>
      </c>
      <c r="G57" s="28" t="str">
        <f t="shared" si="18"/>
        <v xml:space="preserve"> </v>
      </c>
      <c r="H57" s="28" t="str">
        <f t="shared" si="18"/>
        <v xml:space="preserve"> </v>
      </c>
      <c r="I57" s="28" t="str">
        <f t="shared" si="18"/>
        <v xml:space="preserve"> </v>
      </c>
    </row>
    <row r="58" spans="1:9" x14ac:dyDescent="0.25">
      <c r="A58" s="55" t="s">
        <v>124</v>
      </c>
      <c r="B58" s="149" t="str">
        <f>IF((B14)&lt;1," ",'User Inputs'!$B$13*'User Inputs'!$B$16/2)</f>
        <v xml:space="preserve"> </v>
      </c>
      <c r="C58" s="149" t="str">
        <f>IF((C14)&lt;1," ",'User Inputs'!$B$13*'User Inputs'!$B$16/2)</f>
        <v xml:space="preserve"> </v>
      </c>
      <c r="D58" s="149" t="str">
        <f>IF((D14)&lt;1," ",'User Inputs'!$B$13*'User Inputs'!$B$16/2)</f>
        <v xml:space="preserve"> </v>
      </c>
      <c r="E58" s="149">
        <f>IF((E14)&lt;1," ",'User Inputs'!$B$13*'User Inputs'!$B$16/2)</f>
        <v>120</v>
      </c>
      <c r="F58" s="149" t="str">
        <f>IF((F14)&lt;1," ",'User Inputs'!$B$13*'User Inputs'!$B$16/2)</f>
        <v xml:space="preserve"> </v>
      </c>
      <c r="G58" s="149" t="str">
        <f>IF((G14)&lt;1," ",'User Inputs'!$B$13*'User Inputs'!$B$16/2)</f>
        <v xml:space="preserve"> </v>
      </c>
      <c r="H58" s="149" t="str">
        <f>IF((H14)&lt;1," ",'User Inputs'!$B$13*'User Inputs'!$B$16/2)</f>
        <v xml:space="preserve"> </v>
      </c>
      <c r="I58" s="149" t="str">
        <f>IF((I14)&lt;1," ",'User Inputs'!$B$13*'User Inputs'!$B$16/2)</f>
        <v xml:space="preserve"> </v>
      </c>
    </row>
    <row r="59" spans="1:9" x14ac:dyDescent="0.25">
      <c r="A59" s="55" t="s">
        <v>29</v>
      </c>
      <c r="B59" s="149" t="str">
        <f t="shared" ref="B59:I59" si="19">IF((B14)&lt;1," ",B58*B14)</f>
        <v xml:space="preserve"> </v>
      </c>
      <c r="C59" s="149" t="str">
        <f t="shared" si="19"/>
        <v xml:space="preserve"> </v>
      </c>
      <c r="D59" s="149" t="str">
        <f t="shared" si="19"/>
        <v xml:space="preserve"> </v>
      </c>
      <c r="E59" s="149">
        <f t="shared" si="19"/>
        <v>480</v>
      </c>
      <c r="F59" s="149" t="str">
        <f t="shared" si="19"/>
        <v xml:space="preserve"> </v>
      </c>
      <c r="G59" s="149" t="str">
        <f t="shared" si="19"/>
        <v xml:space="preserve"> </v>
      </c>
      <c r="H59" s="149" t="str">
        <f t="shared" si="19"/>
        <v xml:space="preserve"> </v>
      </c>
      <c r="I59" s="149" t="str">
        <f t="shared" si="19"/>
        <v xml:space="preserve"> </v>
      </c>
    </row>
    <row r="60" spans="1:9" x14ac:dyDescent="0.25">
      <c r="A60" s="163" t="s">
        <v>127</v>
      </c>
    </row>
    <row r="61" spans="1:9" x14ac:dyDescent="0.25">
      <c r="A61" s="55" t="s">
        <v>123</v>
      </c>
      <c r="B61" s="29" t="str">
        <f t="shared" ref="B61:I61" si="20">IF(B18&lt;1," ",B18*B$32)</f>
        <v xml:space="preserve"> </v>
      </c>
      <c r="C61" s="29" t="str">
        <f t="shared" si="20"/>
        <v xml:space="preserve"> </v>
      </c>
      <c r="D61" s="29" t="str">
        <f t="shared" si="20"/>
        <v xml:space="preserve"> </v>
      </c>
      <c r="E61" s="29">
        <f t="shared" si="20"/>
        <v>4</v>
      </c>
      <c r="F61" s="29" t="str">
        <f t="shared" si="20"/>
        <v xml:space="preserve"> </v>
      </c>
      <c r="G61" s="29" t="str">
        <f t="shared" si="20"/>
        <v xml:space="preserve"> </v>
      </c>
      <c r="H61" s="29" t="str">
        <f t="shared" si="20"/>
        <v xml:space="preserve"> </v>
      </c>
      <c r="I61" s="29" t="str">
        <f t="shared" si="20"/>
        <v xml:space="preserve"> </v>
      </c>
    </row>
    <row r="62" spans="1:9" x14ac:dyDescent="0.25">
      <c r="A62" s="55" t="s">
        <v>12</v>
      </c>
      <c r="B62" s="28" t="str">
        <f t="shared" ref="B62:I62" si="21">IF((B18)&lt;1," ",B$36/B18)</f>
        <v xml:space="preserve"> </v>
      </c>
      <c r="C62" s="28" t="str">
        <f t="shared" si="21"/>
        <v xml:space="preserve"> </v>
      </c>
      <c r="D62" s="28" t="str">
        <f t="shared" si="21"/>
        <v xml:space="preserve"> </v>
      </c>
      <c r="E62" s="28">
        <f t="shared" si="21"/>
        <v>32.53125</v>
      </c>
      <c r="F62" s="28" t="str">
        <f t="shared" si="21"/>
        <v xml:space="preserve"> </v>
      </c>
      <c r="G62" s="28" t="str">
        <f t="shared" si="21"/>
        <v xml:space="preserve"> </v>
      </c>
      <c r="H62" s="28" t="str">
        <f t="shared" si="21"/>
        <v xml:space="preserve"> </v>
      </c>
      <c r="I62" s="28" t="str">
        <f t="shared" si="21"/>
        <v xml:space="preserve"> </v>
      </c>
    </row>
    <row r="63" spans="1:9" x14ac:dyDescent="0.25">
      <c r="A63" s="55" t="s">
        <v>124</v>
      </c>
      <c r="B63" s="149" t="str">
        <f>IF((B18)&lt;1," ",'User Inputs'!$B$13*'User Inputs'!$B$16/2)</f>
        <v xml:space="preserve"> </v>
      </c>
      <c r="C63" s="149" t="str">
        <f>IF((C18)&lt;1," ",'User Inputs'!$B$13*'User Inputs'!$B$16/2)</f>
        <v xml:space="preserve"> </v>
      </c>
      <c r="D63" s="149" t="str">
        <f>IF((D18)&lt;1," ",'User Inputs'!$B$13*'User Inputs'!$B$16/2)</f>
        <v xml:space="preserve"> </v>
      </c>
      <c r="E63" s="149">
        <f>IF((E18)&lt;1," ",'User Inputs'!$B$13*'User Inputs'!$B$16/2)</f>
        <v>120</v>
      </c>
      <c r="F63" s="149" t="str">
        <f>IF((F18)&lt;1," ",'User Inputs'!$B$13*'User Inputs'!$B$16/2)</f>
        <v xml:space="preserve"> </v>
      </c>
      <c r="G63" s="149" t="str">
        <f>IF((G18)&lt;1," ",'User Inputs'!$B$13*'User Inputs'!$B$16/2)</f>
        <v xml:space="preserve"> </v>
      </c>
      <c r="H63" s="149" t="str">
        <f>IF((H18)&lt;1," ",'User Inputs'!$B$13*'User Inputs'!$B$16/2)</f>
        <v xml:space="preserve"> </v>
      </c>
      <c r="I63" s="149" t="str">
        <f>IF((I18)&lt;1," ",'User Inputs'!$B$13*'User Inputs'!$B$16/2)</f>
        <v xml:space="preserve"> </v>
      </c>
    </row>
    <row r="64" spans="1:9" x14ac:dyDescent="0.25">
      <c r="A64" s="55" t="s">
        <v>29</v>
      </c>
      <c r="B64" s="149" t="str">
        <f t="shared" ref="B64:I64" si="22">IF((B18)&lt;1," ",B63*B18)</f>
        <v xml:space="preserve"> </v>
      </c>
      <c r="C64" s="149" t="str">
        <f t="shared" si="22"/>
        <v xml:space="preserve"> </v>
      </c>
      <c r="D64" s="149" t="str">
        <f t="shared" si="22"/>
        <v xml:space="preserve"> </v>
      </c>
      <c r="E64" s="149">
        <f t="shared" si="22"/>
        <v>240</v>
      </c>
      <c r="F64" s="149" t="str">
        <f t="shared" si="22"/>
        <v xml:space="preserve"> </v>
      </c>
      <c r="G64" s="149" t="str">
        <f t="shared" si="22"/>
        <v xml:space="preserve"> </v>
      </c>
      <c r="H64" s="149" t="str">
        <f t="shared" si="22"/>
        <v xml:space="preserve"> </v>
      </c>
      <c r="I64" s="149" t="str">
        <f t="shared" si="22"/>
        <v xml:space="preserve"> </v>
      </c>
    </row>
    <row r="65" spans="2:9" x14ac:dyDescent="0.25">
      <c r="B65" s="11"/>
      <c r="C65" s="11"/>
      <c r="D65" s="11"/>
      <c r="E65" s="11"/>
      <c r="F65" s="11"/>
      <c r="G65" s="11"/>
      <c r="H65" s="11"/>
      <c r="I65" s="11"/>
    </row>
    <row r="66" spans="2:9" x14ac:dyDescent="0.25">
      <c r="B66" s="11"/>
      <c r="C66" s="11"/>
      <c r="D66" s="11"/>
      <c r="E66" s="11"/>
      <c r="F66" s="11"/>
      <c r="G66" s="11"/>
      <c r="H66" s="11"/>
      <c r="I66" s="11"/>
    </row>
  </sheetData>
  <sheetProtection password="EF95" sheet="1" objects="1" scenarios="1"/>
  <mergeCells count="2">
    <mergeCell ref="A1:D1"/>
    <mergeCell ref="B2:I2"/>
  </mergeCells>
  <pageMargins left="0.25" right="0.25" top="0.75" bottom="0.75" header="0.3" footer="0.3"/>
  <pageSetup orientation="landscape" r:id="rId1"/>
  <headerFooter>
    <oddHeader xml:space="preserve">&amp;CService and Fleet Characteristics
</oddHeader>
  </headerFooter>
  <ignoredErrors>
    <ignoredError sqref="B30:I3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Layout" zoomScale="85" zoomScaleNormal="100" zoomScalePageLayoutView="85" workbookViewId="0">
      <selection sqref="A1:A2"/>
    </sheetView>
  </sheetViews>
  <sheetFormatPr defaultRowHeight="15" x14ac:dyDescent="0.25"/>
  <cols>
    <col min="1" max="1" width="22.5703125" customWidth="1"/>
    <col min="2" max="2" width="3.85546875" customWidth="1"/>
    <col min="3" max="3" width="15.140625" customWidth="1"/>
    <col min="4" max="4" width="12.28515625" customWidth="1"/>
    <col min="5" max="5" width="12.7109375" customWidth="1"/>
    <col min="6" max="6" width="12.42578125" customWidth="1"/>
    <col min="7" max="7" width="13.140625" customWidth="1"/>
    <col min="8" max="8" width="13.42578125" bestFit="1" customWidth="1"/>
    <col min="9" max="9" width="14.42578125" customWidth="1"/>
    <col min="10" max="10" width="13.42578125" bestFit="1" customWidth="1"/>
    <col min="11" max="11" width="28.7109375" customWidth="1"/>
    <col min="13" max="13" width="14.42578125" customWidth="1"/>
    <col min="16" max="16" width="12.5703125" bestFit="1" customWidth="1"/>
  </cols>
  <sheetData>
    <row r="1" spans="1:10" ht="24.75" x14ac:dyDescent="0.25">
      <c r="A1" s="115" t="s">
        <v>92</v>
      </c>
      <c r="B1" s="2"/>
      <c r="C1" s="42" t="str">
        <f>IF((Manual!B6+Manual!B4)&lt;1," ",'Pax Service Overview'!B1)</f>
        <v xml:space="preserve"> </v>
      </c>
      <c r="D1" s="164" t="str">
        <f>IF((Manual!C6+Manual!C4)&lt;1," ",'Pax Service Overview'!C1)</f>
        <v xml:space="preserve"> </v>
      </c>
      <c r="E1" s="42" t="str">
        <f>IF((Manual!D6+Manual!D4)&lt;1," ",'Pax Service Overview'!D1)</f>
        <v xml:space="preserve"> </v>
      </c>
      <c r="F1" s="201" t="str">
        <f>IF((Manual!E6+Manual!E4)&lt;1," ",'Pax Service Overview'!E1)</f>
        <v>51-100 Pax, &lt;20kt</v>
      </c>
      <c r="G1" s="201" t="str">
        <f>IF((Manual!F6+Manual!F4)&lt;1," ",'Pax Service Overview'!F1)</f>
        <v xml:space="preserve"> </v>
      </c>
      <c r="H1" s="201" t="str">
        <f>IF((Manual!G6+Manual!G4)&lt;1," ",'Pax Service Overview'!G1)</f>
        <v xml:space="preserve"> </v>
      </c>
      <c r="I1" s="42" t="str">
        <f>IF((Manual!H6+Manual!H4)&lt;1," ",'Pax Service Overview'!H1)</f>
        <v xml:space="preserve"> </v>
      </c>
      <c r="J1" s="42" t="str">
        <f>IF((Manual!I6+Manual!I4)&lt;1," ",'Pax Service Overview'!I1)</f>
        <v xml:space="preserve"> </v>
      </c>
    </row>
    <row r="2" spans="1:10" ht="15" customHeight="1" x14ac:dyDescent="0.25">
      <c r="A2" t="s">
        <v>189</v>
      </c>
      <c r="C2" s="189">
        <f>'User Inputs'!$B8*MAX(Manual!B6,Manual!B10)+'User Inputs'!$B13*MAX(Manual!B14,Manual!B18)+('User Inputs'!$B8+'User Inputs'!$B13)*(Manual!B4)</f>
        <v>0</v>
      </c>
      <c r="D2" s="189">
        <f>'User Inputs'!$B8*MAX(Manual!C6,Manual!C10)+'User Inputs'!$B13*MAX(Manual!C14,Manual!C18)+('User Inputs'!$B8+'User Inputs'!$B13)*(Manual!C4)</f>
        <v>0</v>
      </c>
      <c r="E2" s="189">
        <f>'User Inputs'!$B8*MAX(Manual!D6,Manual!D10)+'User Inputs'!$B13*MAX(Manual!D14,Manual!D18)+('User Inputs'!$B8+'User Inputs'!$B13)*(Manual!D4)</f>
        <v>0</v>
      </c>
      <c r="F2" s="189">
        <f>'User Inputs'!$B8*MAX(Manual!E6,Manual!E10)+'User Inputs'!$B13*MAX(Manual!E14,Manual!E18)+('User Inputs'!$B8+'User Inputs'!$B13)*(Manual!E4)</f>
        <v>816</v>
      </c>
      <c r="G2" s="189">
        <f>'User Inputs'!$B8*MAX(Manual!F6,Manual!F10)+'User Inputs'!$B13*MAX(Manual!F14,Manual!F18)+('User Inputs'!$B8+'User Inputs'!$B13)*(Manual!F4)</f>
        <v>0</v>
      </c>
      <c r="H2" s="189">
        <f>'User Inputs'!$B8*MAX(Manual!G6,Manual!G10)+'User Inputs'!$B13*MAX(Manual!G14,Manual!G18)+('User Inputs'!$B8+'User Inputs'!$B13)*(Manual!G4)</f>
        <v>0</v>
      </c>
      <c r="I2" s="189">
        <f>'User Inputs'!$B8*MAX(Manual!H6,Manual!H10)+'User Inputs'!$B13*MAX(Manual!H14,Manual!H18)+('User Inputs'!$B8+'User Inputs'!$B13)*(Manual!H4)</f>
        <v>0</v>
      </c>
      <c r="J2" s="189">
        <f>'User Inputs'!$B8*MAX(Manual!I6,Manual!I10)+'User Inputs'!$B13*MAX(Manual!I14,Manual!I18)+('User Inputs'!$B8+'User Inputs'!$B13)*(Manual!I4)</f>
        <v>0</v>
      </c>
    </row>
    <row r="3" spans="1:10" ht="15" customHeight="1" x14ac:dyDescent="0.25">
      <c r="A3" s="39" t="s">
        <v>188</v>
      </c>
      <c r="B3" s="124"/>
      <c r="C3" s="306" t="str">
        <f>IF(Manual!B4+Manual!B6&gt;0,'User Inputs'!$B20*(Manual!B6+Manual!B4)+IF('User Inputs'!$B17="Yes",(Manual!B6+Manual!B4-Manual!B14-Manual!B18)*'User Inputs'!$B13,0)," ")</f>
        <v xml:space="preserve"> </v>
      </c>
      <c r="D3" s="306" t="str">
        <f>IF(Manual!C4+Manual!C6&gt;0,'User Inputs'!$B20*(Manual!C6+Manual!C4)+IF('User Inputs'!$B17="Yes",(Manual!C6+Manual!C4-Manual!C14-Manual!C18)*'User Inputs'!$B13,0)," ")</f>
        <v xml:space="preserve"> </v>
      </c>
      <c r="E3" s="306" t="str">
        <f>IF(Manual!D4+Manual!D6&gt;0,'User Inputs'!$B20*(Manual!D6+Manual!D4)+IF('User Inputs'!$B17="Yes",(Manual!D6+Manual!D4-Manual!D14-Manual!D18)*'User Inputs'!$B13,0)," ")</f>
        <v xml:space="preserve"> </v>
      </c>
      <c r="F3" s="306">
        <f>IF(Manual!E4+Manual!E6&gt;0,'User Inputs'!$B20*(Manual!E6+Manual!E4)+IF('User Inputs'!$B17="Yes",(Manual!E6+Manual!E4-Manual!E14-Manual!E18)*'User Inputs'!$B13,0)," ")</f>
        <v>1488</v>
      </c>
      <c r="G3" s="306" t="str">
        <f>IF(Manual!F4+Manual!F6&gt;0,'User Inputs'!$B20*(Manual!F6+Manual!F4)+IF('User Inputs'!$B17="Yes",(Manual!F6+Manual!F4-Manual!F14-Manual!F18)*'User Inputs'!$B13,0)," ")</f>
        <v xml:space="preserve"> </v>
      </c>
      <c r="H3" s="306" t="str">
        <f>IF(Manual!G4+Manual!G6&gt;0,'User Inputs'!$B20*(Manual!G6+Manual!G4)+IF('User Inputs'!$B17="Yes",(Manual!G6+Manual!G4-Manual!G14-Manual!G18)*'User Inputs'!$B13,0)," ")</f>
        <v xml:space="preserve"> </v>
      </c>
      <c r="I3" s="306" t="str">
        <f>IF(Manual!H4+Manual!H6&gt;0,'User Inputs'!$B20*(Manual!H6+Manual!H4)+IF('User Inputs'!$B17="Yes",(Manual!H6+Manual!H4-Manual!H14-Manual!H18)*'User Inputs'!$B13,0)," ")</f>
        <v xml:space="preserve"> </v>
      </c>
      <c r="J3" s="306" t="str">
        <f>IF(Manual!I4+Manual!I6&gt;0,'User Inputs'!$B20*(Manual!I6+Manual!I4)+IF('User Inputs'!$B17="Yes",(Manual!I6+Manual!I4-Manual!I14-Manual!I18)*'User Inputs'!$B13,0)," ")</f>
        <v xml:space="preserve"> </v>
      </c>
    </row>
    <row r="4" spans="1:10" ht="30" x14ac:dyDescent="0.25">
      <c r="A4" s="39" t="s">
        <v>130</v>
      </c>
      <c r="B4" s="124"/>
      <c r="C4" s="193" t="str">
        <f>IF(C1&lt;&gt;" ",C2/(C2+C3)," ")</f>
        <v xml:space="preserve"> </v>
      </c>
      <c r="D4" s="193" t="str">
        <f t="shared" ref="D4:J4" si="0">IF(D1&lt;&gt;" ",D2/(D2+D3)," ")</f>
        <v xml:space="preserve"> </v>
      </c>
      <c r="E4" s="193" t="str">
        <f t="shared" si="0"/>
        <v xml:space="preserve"> </v>
      </c>
      <c r="F4" s="193">
        <f>IF(F1&lt;&gt;" ",F2/(F2+F3)," ")</f>
        <v>0.35416666666666669</v>
      </c>
      <c r="G4" s="193" t="str">
        <f t="shared" si="0"/>
        <v xml:space="preserve"> </v>
      </c>
      <c r="H4" s="193" t="str">
        <f t="shared" si="0"/>
        <v xml:space="preserve"> </v>
      </c>
      <c r="I4" s="193" t="str">
        <f t="shared" si="0"/>
        <v xml:space="preserve"> </v>
      </c>
      <c r="J4" s="193" t="str">
        <f t="shared" si="0"/>
        <v xml:space="preserve"> </v>
      </c>
    </row>
    <row r="5" spans="1:10" x14ac:dyDescent="0.25">
      <c r="A5" s="4" t="s">
        <v>167</v>
      </c>
      <c r="B5" s="93"/>
      <c r="C5" s="14" t="str">
        <f>IF(C4=" "," ",-1*Manual!B43)</f>
        <v xml:space="preserve"> </v>
      </c>
      <c r="D5" s="14" t="str">
        <f>IF(D4=" "," ",-1*Manual!C43)</f>
        <v xml:space="preserve"> </v>
      </c>
      <c r="E5" s="14" t="str">
        <f>IF(E4=" "," ",-1*Manual!D43)</f>
        <v xml:space="preserve"> </v>
      </c>
      <c r="F5" s="14">
        <f>IF(F4=" "," ",-1*Manual!E43)</f>
        <v>-4054750</v>
      </c>
      <c r="G5" s="14" t="str">
        <f>IF(G4=" "," ",-1*Manual!F43)</f>
        <v xml:space="preserve"> </v>
      </c>
      <c r="H5" s="14" t="str">
        <f>IF(H4=" "," ",-1*Manual!G43)</f>
        <v xml:space="preserve"> </v>
      </c>
      <c r="I5" s="14" t="str">
        <f>IF(I4=" "," ",-1*Manual!H43)</f>
        <v xml:space="preserve"> </v>
      </c>
      <c r="J5" s="14" t="str">
        <f>IF(J4=" "," ",-1*Manual!I43)</f>
        <v xml:space="preserve"> </v>
      </c>
    </row>
    <row r="6" spans="1:10" ht="27" customHeight="1" x14ac:dyDescent="0.25">
      <c r="A6" s="203" t="s">
        <v>73</v>
      </c>
      <c r="B6" s="93" t="s">
        <v>145</v>
      </c>
      <c r="C6" s="91" t="str">
        <f t="shared" ref="C6:J6" si="1">IF(C4=" "," ",C5*C$4)</f>
        <v xml:space="preserve"> </v>
      </c>
      <c r="D6" s="91" t="str">
        <f t="shared" si="1"/>
        <v xml:space="preserve"> </v>
      </c>
      <c r="E6" s="91" t="str">
        <f t="shared" si="1"/>
        <v xml:space="preserve"> </v>
      </c>
      <c r="F6" s="91">
        <f t="shared" si="1"/>
        <v>-1436057.2916666667</v>
      </c>
      <c r="G6" s="91" t="str">
        <f t="shared" si="1"/>
        <v xml:space="preserve"> </v>
      </c>
      <c r="H6" s="91" t="str">
        <f t="shared" si="1"/>
        <v xml:space="preserve"> </v>
      </c>
      <c r="I6" s="91" t="str">
        <f t="shared" si="1"/>
        <v xml:space="preserve"> </v>
      </c>
      <c r="J6" s="91" t="str">
        <f t="shared" si="1"/>
        <v xml:space="preserve"> </v>
      </c>
    </row>
    <row r="7" spans="1:10" x14ac:dyDescent="0.25">
      <c r="A7" s="39" t="s">
        <v>50</v>
      </c>
      <c r="C7" s="14">
        <f>-'User Inputs'!$E17*SUM(C6:J6)</f>
        <v>287211.45833333337</v>
      </c>
      <c r="D7" s="167"/>
      <c r="E7" s="167"/>
      <c r="F7" s="167"/>
      <c r="G7" s="167"/>
      <c r="H7" s="167"/>
      <c r="I7" s="167"/>
      <c r="J7" s="167"/>
    </row>
    <row r="8" spans="1:10" x14ac:dyDescent="0.25">
      <c r="A8" s="68" t="s">
        <v>46</v>
      </c>
      <c r="B8" s="71" t="s">
        <v>145</v>
      </c>
      <c r="C8" s="69">
        <f>-'Vessel Data'!C33/4</f>
        <v>-21060</v>
      </c>
      <c r="D8" s="35"/>
      <c r="E8" s="35"/>
      <c r="F8" s="35"/>
      <c r="G8" s="35"/>
      <c r="H8" s="35"/>
      <c r="I8" s="35"/>
      <c r="J8" s="35"/>
    </row>
    <row r="9" spans="1:10" ht="30" x14ac:dyDescent="0.25">
      <c r="A9" s="44" t="s">
        <v>47</v>
      </c>
      <c r="B9" s="95"/>
      <c r="C9" s="14">
        <f>SUM(C6:J6,C8)+C7</f>
        <v>-1169905.8333333335</v>
      </c>
      <c r="D9" s="35"/>
      <c r="E9" s="35"/>
      <c r="F9" s="35"/>
      <c r="G9" s="35"/>
      <c r="H9" s="35"/>
      <c r="I9" s="35"/>
      <c r="J9" s="35"/>
    </row>
    <row r="10" spans="1:10" x14ac:dyDescent="0.25">
      <c r="A10" s="106" t="s">
        <v>49</v>
      </c>
      <c r="B10" s="93"/>
      <c r="C10" s="14">
        <f>PMT('User Inputs'!$E$14/12,'User Inputs'!$E$13*12,C9)*12</f>
        <v>100578.82493937355</v>
      </c>
      <c r="D10" s="35"/>
      <c r="E10" s="35"/>
      <c r="F10" s="35"/>
      <c r="G10" s="35"/>
      <c r="H10" s="35"/>
      <c r="I10" s="35"/>
      <c r="J10" s="35"/>
    </row>
    <row r="11" spans="1:10" s="9" customFormat="1" ht="30" x14ac:dyDescent="0.25">
      <c r="A11" s="39" t="s">
        <v>43</v>
      </c>
      <c r="B11" s="93" t="s">
        <v>144</v>
      </c>
      <c r="C11" s="14" t="str">
        <f>IF(C4=" "," ",C6*('User Inputs'!$E$11))</f>
        <v xml:space="preserve"> </v>
      </c>
      <c r="D11" s="14" t="str">
        <f>IF(D4=" "," ",D6*('User Inputs'!$E$11))</f>
        <v xml:space="preserve"> </v>
      </c>
      <c r="E11" s="14" t="str">
        <f>IF(E4=" "," ",E6*('User Inputs'!$E$11))</f>
        <v xml:space="preserve"> </v>
      </c>
      <c r="F11" s="14">
        <f>IF(F4=" "," ",F6*('User Inputs'!$E$11))</f>
        <v>-33029.317708333336</v>
      </c>
      <c r="G11" s="14" t="str">
        <f>IF(G4=" "," ",G6*('User Inputs'!$E$11))</f>
        <v xml:space="preserve"> </v>
      </c>
      <c r="H11" s="14" t="str">
        <f>IF(H4=" "," ",H6*('User Inputs'!$E$11))</f>
        <v xml:space="preserve"> </v>
      </c>
      <c r="I11" s="14" t="str">
        <f>IF(I4=" "," ",I6*('User Inputs'!$E$11))</f>
        <v xml:space="preserve"> </v>
      </c>
      <c r="J11" s="14" t="str">
        <f>IF(J4=" "," ",J6*('User Inputs'!$E$11))</f>
        <v xml:space="preserve"> </v>
      </c>
    </row>
    <row r="12" spans="1:10" ht="30" x14ac:dyDescent="0.25">
      <c r="A12" s="202" t="s">
        <v>223</v>
      </c>
      <c r="C12" s="91" t="str">
        <f>IF(C4=" "," ",-C6+15*C11)</f>
        <v xml:space="preserve"> </v>
      </c>
      <c r="D12" s="91" t="str">
        <f>IF(D4=" "," ",-D6+15*D11)</f>
        <v xml:space="preserve"> </v>
      </c>
      <c r="E12" s="91" t="str">
        <f>IF(E4=" "," ",-E6+15*E11)</f>
        <v xml:space="preserve"> </v>
      </c>
      <c r="F12" s="91">
        <f>IF(F4=" "," ",-F6+25*F11)</f>
        <v>610324.34895833337</v>
      </c>
      <c r="G12" s="91" t="str">
        <f>IF(G4=" "," ",-G6+15*G11)</f>
        <v xml:space="preserve"> </v>
      </c>
      <c r="H12" s="91" t="str">
        <f>IF(H4=" "," ",-H6+15*H11)</f>
        <v xml:space="preserve"> </v>
      </c>
      <c r="I12" s="91" t="str">
        <f>IF(I4=" "," ",-I6+15*I11)</f>
        <v xml:space="preserve"> </v>
      </c>
      <c r="J12" s="91" t="str">
        <f>IF(J4=" "," ",-J6+15*J11)</f>
        <v xml:space="preserve"> </v>
      </c>
    </row>
    <row r="13" spans="1:10" s="9" customFormat="1" x14ac:dyDescent="0.25">
      <c r="A13" s="426" t="s">
        <v>89</v>
      </c>
      <c r="B13" s="427"/>
      <c r="C13" s="31"/>
      <c r="D13" s="31"/>
      <c r="E13" s="35"/>
      <c r="F13" s="35"/>
      <c r="G13" s="35"/>
      <c r="H13" s="35"/>
      <c r="I13" s="35"/>
      <c r="J13" s="36"/>
    </row>
    <row r="14" spans="1:10" x14ac:dyDescent="0.25">
      <c r="A14" s="4" t="s">
        <v>42</v>
      </c>
      <c r="B14" s="33">
        <v>0</v>
      </c>
      <c r="C14" s="14">
        <f>C7</f>
        <v>287211.45833333337</v>
      </c>
      <c r="D14" s="35"/>
      <c r="E14" s="35"/>
      <c r="F14" s="35"/>
      <c r="G14" s="35"/>
      <c r="H14" s="35"/>
      <c r="I14" s="35"/>
      <c r="J14" s="35"/>
    </row>
    <row r="15" spans="1:10" ht="15" customHeight="1" x14ac:dyDescent="0.25">
      <c r="A15" s="4" t="s">
        <v>42</v>
      </c>
      <c r="B15" s="33">
        <v>1</v>
      </c>
      <c r="C15" s="14">
        <f>IF('User Inputs'!$E$13&gt;=B15,C$10,0)</f>
        <v>100578.82493937355</v>
      </c>
      <c r="D15" s="35"/>
      <c r="E15" s="35"/>
      <c r="F15" s="35"/>
      <c r="G15" s="35"/>
      <c r="H15" s="35"/>
      <c r="I15" s="35"/>
      <c r="J15" s="35"/>
    </row>
    <row r="16" spans="1:10" x14ac:dyDescent="0.25">
      <c r="A16" s="4" t="s">
        <v>42</v>
      </c>
      <c r="B16" s="33">
        <v>2</v>
      </c>
      <c r="C16" s="14">
        <f>IF('User Inputs'!$E$13&gt;=B16,C$10,0)</f>
        <v>100578.82493937355</v>
      </c>
      <c r="D16" s="35"/>
      <c r="E16" s="35"/>
      <c r="F16" s="35"/>
      <c r="G16" s="35"/>
      <c r="H16" s="35"/>
      <c r="I16" s="35"/>
      <c r="J16" s="35"/>
    </row>
    <row r="17" spans="1:10" s="9" customFormat="1" x14ac:dyDescent="0.25">
      <c r="A17" s="4" t="s">
        <v>42</v>
      </c>
      <c r="B17" s="33">
        <v>3</v>
      </c>
      <c r="C17" s="14">
        <f>IF('User Inputs'!$E$13&gt;=B17,C$10,0)</f>
        <v>100578.82493937355</v>
      </c>
      <c r="D17" s="35"/>
      <c r="E17" s="35"/>
      <c r="F17" s="35"/>
      <c r="G17" s="35"/>
      <c r="H17" s="35"/>
      <c r="I17" s="35"/>
      <c r="J17" s="35"/>
    </row>
    <row r="18" spans="1:10" x14ac:dyDescent="0.25">
      <c r="A18" s="4" t="s">
        <v>42</v>
      </c>
      <c r="B18" s="33">
        <v>4</v>
      </c>
      <c r="C18" s="14">
        <f>IF('User Inputs'!$E$13&gt;=B18,C$10,0)</f>
        <v>100578.82493937355</v>
      </c>
      <c r="D18" s="35"/>
      <c r="E18" s="35"/>
      <c r="F18" s="344"/>
      <c r="G18" s="35"/>
      <c r="H18" s="35">
        <f>114*5</f>
        <v>570</v>
      </c>
      <c r="I18" s="35"/>
      <c r="J18" s="35"/>
    </row>
    <row r="19" spans="1:10" s="9" customFormat="1" x14ac:dyDescent="0.25">
      <c r="A19" s="4" t="s">
        <v>42</v>
      </c>
      <c r="B19" s="33">
        <v>5</v>
      </c>
      <c r="C19" s="14">
        <f>IF('User Inputs'!$E$13&gt;=B19,C$10,0)</f>
        <v>100578.82493937355</v>
      </c>
      <c r="D19" s="35"/>
      <c r="E19" s="35"/>
      <c r="F19" s="344"/>
      <c r="G19" s="35"/>
      <c r="H19" s="35">
        <f>180*5</f>
        <v>900</v>
      </c>
      <c r="I19" s="35"/>
      <c r="J19" s="35"/>
    </row>
    <row r="20" spans="1:10" ht="15" customHeight="1" x14ac:dyDescent="0.25">
      <c r="A20" s="4" t="s">
        <v>42</v>
      </c>
      <c r="B20" s="33">
        <v>6</v>
      </c>
      <c r="C20" s="14">
        <f>IF('User Inputs'!$E$13&gt;=B20,C$10,0)</f>
        <v>100578.82493937355</v>
      </c>
      <c r="D20" s="35"/>
      <c r="E20" s="35"/>
      <c r="F20" s="35"/>
      <c r="G20" s="35"/>
      <c r="H20" s="35">
        <f>90*4+24*2+114</f>
        <v>522</v>
      </c>
      <c r="I20" s="35"/>
      <c r="J20" s="35"/>
    </row>
    <row r="21" spans="1:10" x14ac:dyDescent="0.25">
      <c r="A21" s="4" t="s">
        <v>42</v>
      </c>
      <c r="B21" s="33">
        <v>7</v>
      </c>
      <c r="C21" s="14">
        <f>IF('User Inputs'!$E$13&gt;=B21,C$10,0)</f>
        <v>100578.82493937355</v>
      </c>
      <c r="D21" s="35"/>
      <c r="E21" s="35"/>
      <c r="F21" s="35"/>
      <c r="G21" s="35"/>
      <c r="H21" s="35"/>
      <c r="I21" s="35"/>
      <c r="J21" s="35"/>
    </row>
    <row r="22" spans="1:10" x14ac:dyDescent="0.25">
      <c r="A22" s="4" t="s">
        <v>42</v>
      </c>
      <c r="B22" s="33">
        <v>8</v>
      </c>
      <c r="C22" s="14">
        <f>IF('User Inputs'!$E$13&gt;=B22,C$10,0)</f>
        <v>100578.82493937355</v>
      </c>
      <c r="D22" s="35"/>
      <c r="E22" s="35"/>
      <c r="F22" s="35"/>
      <c r="G22" s="35"/>
      <c r="H22" s="35"/>
      <c r="I22" s="35"/>
      <c r="J22" s="35"/>
    </row>
    <row r="23" spans="1:10" s="9" customFormat="1" x14ac:dyDescent="0.25">
      <c r="A23" s="4" t="s">
        <v>42</v>
      </c>
      <c r="B23" s="33">
        <v>9</v>
      </c>
      <c r="C23" s="14">
        <f>IF('User Inputs'!$E$13&gt;=B23,C$10,0)</f>
        <v>100578.82493937355</v>
      </c>
      <c r="D23" s="35"/>
      <c r="E23" s="35"/>
      <c r="F23" s="35"/>
      <c r="G23" s="35"/>
      <c r="H23" s="35"/>
      <c r="I23" s="35"/>
      <c r="J23" s="35"/>
    </row>
    <row r="24" spans="1:10" ht="17.25" customHeight="1" x14ac:dyDescent="0.25">
      <c r="A24" s="4" t="s">
        <v>42</v>
      </c>
      <c r="B24" s="33">
        <v>10</v>
      </c>
      <c r="C24" s="14">
        <f>IF('User Inputs'!$E$13&gt;=B24,C$10,0)</f>
        <v>100578.82493937355</v>
      </c>
      <c r="D24" s="35"/>
      <c r="E24" s="35"/>
      <c r="F24" s="35"/>
      <c r="G24" s="35"/>
      <c r="H24" s="35"/>
      <c r="I24" s="35"/>
      <c r="J24" s="35"/>
    </row>
    <row r="25" spans="1:10" x14ac:dyDescent="0.25">
      <c r="A25" s="4" t="s">
        <v>42</v>
      </c>
      <c r="B25" s="33">
        <v>11</v>
      </c>
      <c r="C25" s="14">
        <f>IF('User Inputs'!$E$13&gt;=B25,C$10,0)</f>
        <v>100578.82493937355</v>
      </c>
      <c r="D25" s="35"/>
      <c r="E25" s="35"/>
      <c r="F25" s="35"/>
      <c r="G25" s="35"/>
      <c r="H25" s="35"/>
      <c r="I25" s="35"/>
      <c r="J25" s="35"/>
    </row>
    <row r="26" spans="1:10" x14ac:dyDescent="0.25">
      <c r="A26" s="4" t="s">
        <v>42</v>
      </c>
      <c r="B26" s="33">
        <v>12</v>
      </c>
      <c r="C26" s="14">
        <f>IF('User Inputs'!$E$13&gt;=B26,C$10,0)</f>
        <v>100578.82493937355</v>
      </c>
      <c r="D26" s="35"/>
      <c r="E26" s="35"/>
      <c r="F26" s="35"/>
      <c r="G26" s="35"/>
      <c r="H26" s="35"/>
      <c r="I26" s="35"/>
      <c r="J26" s="35"/>
    </row>
    <row r="27" spans="1:10" x14ac:dyDescent="0.25">
      <c r="A27" s="4" t="s">
        <v>42</v>
      </c>
      <c r="B27" s="33">
        <v>13</v>
      </c>
      <c r="C27" s="14">
        <f>IF('User Inputs'!$E$13&gt;=B27,C$10,0)</f>
        <v>100578.82493937355</v>
      </c>
      <c r="D27" s="35"/>
      <c r="E27" s="35"/>
      <c r="F27" s="35"/>
      <c r="G27" s="35"/>
      <c r="H27" s="35"/>
      <c r="I27" s="35"/>
      <c r="J27" s="35"/>
    </row>
    <row r="28" spans="1:10" x14ac:dyDescent="0.25">
      <c r="A28" s="4" t="s">
        <v>42</v>
      </c>
      <c r="B28" s="33">
        <v>14</v>
      </c>
      <c r="C28" s="14">
        <f>IF('User Inputs'!$E$13&gt;=B28,C$10,0)</f>
        <v>100578.82493937355</v>
      </c>
      <c r="D28" s="35"/>
      <c r="E28" s="35"/>
      <c r="F28" s="35"/>
      <c r="G28" s="35"/>
      <c r="H28" s="35"/>
      <c r="I28" s="35"/>
      <c r="J28" s="35"/>
    </row>
    <row r="29" spans="1:10" x14ac:dyDescent="0.25">
      <c r="A29" s="4" t="s">
        <v>42</v>
      </c>
      <c r="B29" s="33">
        <v>15</v>
      </c>
      <c r="C29" s="14">
        <f>IF('User Inputs'!$E$13&gt;=B29,C$10,0)</f>
        <v>100578.82493937355</v>
      </c>
      <c r="D29" s="35"/>
      <c r="E29" s="35"/>
      <c r="F29" s="35"/>
      <c r="G29" s="35"/>
      <c r="H29" s="35"/>
      <c r="I29" s="35"/>
      <c r="J29" s="35"/>
    </row>
    <row r="30" spans="1:10" x14ac:dyDescent="0.25">
      <c r="A30" s="4" t="s">
        <v>42</v>
      </c>
      <c r="B30" s="33">
        <v>16</v>
      </c>
      <c r="C30" s="14">
        <f>IF('User Inputs'!$E$13&gt;=B30,C$10,0)</f>
        <v>100578.82493937355</v>
      </c>
      <c r="D30" s="35"/>
      <c r="E30" s="35"/>
      <c r="F30" s="35"/>
      <c r="G30" s="35"/>
      <c r="H30" s="35"/>
      <c r="I30" s="35"/>
      <c r="J30" s="35"/>
    </row>
    <row r="31" spans="1:10" x14ac:dyDescent="0.25">
      <c r="A31" s="4" t="s">
        <v>42</v>
      </c>
      <c r="B31" s="33">
        <v>17</v>
      </c>
      <c r="C31" s="14">
        <f>IF('User Inputs'!$E$13&gt;=B31,C$10,0)</f>
        <v>100578.82493937355</v>
      </c>
      <c r="D31" s="35"/>
      <c r="E31" s="35"/>
      <c r="F31" s="35"/>
      <c r="G31" s="35"/>
      <c r="H31" s="35"/>
      <c r="I31" s="35"/>
      <c r="J31" s="35"/>
    </row>
    <row r="32" spans="1:10" x14ac:dyDescent="0.25">
      <c r="A32" s="4" t="s">
        <v>42</v>
      </c>
      <c r="B32" s="33">
        <v>18</v>
      </c>
      <c r="C32" s="14">
        <f>IF('User Inputs'!$E$13&gt;=B32,C$10,0)</f>
        <v>100578.82493937355</v>
      </c>
      <c r="D32" s="35"/>
      <c r="E32" s="35"/>
      <c r="F32" s="35"/>
      <c r="G32" s="35"/>
      <c r="H32" s="35"/>
      <c r="I32" s="35"/>
      <c r="J32" s="35"/>
    </row>
    <row r="33" spans="1:10" x14ac:dyDescent="0.25">
      <c r="A33" s="4" t="s">
        <v>42</v>
      </c>
      <c r="B33" s="33">
        <v>19</v>
      </c>
      <c r="C33" s="14">
        <f>IF('User Inputs'!$E$13&gt;=B33,C$10,0)</f>
        <v>100578.82493937355</v>
      </c>
      <c r="D33" s="35"/>
      <c r="E33" s="35"/>
      <c r="F33" s="35"/>
      <c r="G33" s="35"/>
      <c r="H33" s="35"/>
      <c r="I33" s="35"/>
      <c r="J33" s="35"/>
    </row>
    <row r="34" spans="1:10" x14ac:dyDescent="0.25">
      <c r="A34" s="4" t="s">
        <v>42</v>
      </c>
      <c r="B34" s="33">
        <v>20</v>
      </c>
      <c r="C34" s="14">
        <f>IF('User Inputs'!$E$13&gt;=B34,C$10,0)</f>
        <v>100578.82493937355</v>
      </c>
      <c r="D34" s="35"/>
      <c r="E34" s="35"/>
      <c r="F34" s="35"/>
      <c r="G34" s="35"/>
      <c r="H34" s="35"/>
      <c r="I34" s="35"/>
      <c r="J34" s="35"/>
    </row>
    <row r="35" spans="1:10" x14ac:dyDescent="0.25">
      <c r="A35" s="4" t="s">
        <v>42</v>
      </c>
      <c r="B35" s="33">
        <v>21</v>
      </c>
      <c r="C35" s="14">
        <f>IF('User Inputs'!$E$13&gt;=B35,C$10,0)</f>
        <v>0</v>
      </c>
      <c r="D35" s="35"/>
      <c r="E35" s="35"/>
      <c r="F35" s="35"/>
      <c r="G35" s="35"/>
      <c r="H35" s="35"/>
      <c r="I35" s="35"/>
      <c r="J35" s="35"/>
    </row>
    <row r="36" spans="1:10" x14ac:dyDescent="0.25">
      <c r="A36" s="4" t="s">
        <v>42</v>
      </c>
      <c r="B36" s="33">
        <v>22</v>
      </c>
      <c r="C36" s="14">
        <f>IF('User Inputs'!$E$13&gt;=B36,C$10,0)</f>
        <v>0</v>
      </c>
      <c r="D36" s="35"/>
      <c r="E36" s="35"/>
      <c r="F36" s="35"/>
      <c r="G36" s="35"/>
      <c r="H36" s="35"/>
      <c r="I36" s="35"/>
      <c r="J36" s="35"/>
    </row>
    <row r="37" spans="1:10" x14ac:dyDescent="0.25">
      <c r="A37" s="4" t="s">
        <v>42</v>
      </c>
      <c r="B37" s="33">
        <v>23</v>
      </c>
      <c r="C37" s="14">
        <f>IF('User Inputs'!$E$13&gt;=B37,C$10,0)</f>
        <v>0</v>
      </c>
      <c r="D37" s="35"/>
      <c r="E37" s="35"/>
      <c r="F37" s="35"/>
      <c r="G37" s="35"/>
      <c r="H37" s="35"/>
      <c r="I37" s="35"/>
      <c r="J37" s="35"/>
    </row>
    <row r="38" spans="1:10" x14ac:dyDescent="0.25">
      <c r="A38" s="4" t="s">
        <v>42</v>
      </c>
      <c r="B38" s="33">
        <v>24</v>
      </c>
      <c r="C38" s="14">
        <f>IF('User Inputs'!$E$13&gt;=B38,C$10,0)</f>
        <v>0</v>
      </c>
      <c r="D38" s="35"/>
      <c r="E38" s="35"/>
      <c r="F38" s="35"/>
      <c r="G38" s="35"/>
      <c r="H38" s="35"/>
      <c r="I38" s="35"/>
      <c r="J38" s="35"/>
    </row>
    <row r="39" spans="1:10" x14ac:dyDescent="0.25">
      <c r="A39" s="4" t="s">
        <v>42</v>
      </c>
      <c r="B39" s="33">
        <v>25</v>
      </c>
      <c r="C39" s="14">
        <f>IF('User Inputs'!$E$13&gt;=B39,C$10,0)</f>
        <v>0</v>
      </c>
      <c r="D39" s="35"/>
      <c r="E39" s="35"/>
      <c r="F39" s="35"/>
      <c r="G39" s="35"/>
      <c r="H39" s="35"/>
      <c r="I39" s="35"/>
      <c r="J39" s="35"/>
    </row>
  </sheetData>
  <sheetProtection password="EF95" sheet="1" objects="1" scenarios="1"/>
  <mergeCells count="1">
    <mergeCell ref="A13:B13"/>
  </mergeCells>
  <pageMargins left="0.25" right="0.25" top="0.75" bottom="0.75" header="0.3" footer="0.3"/>
  <pageSetup orientation="landscape" r:id="rId1"/>
  <headerFooter>
    <oddHeader xml:space="preserve">&amp;CDebt Repayment
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User Inputs</vt:lpstr>
      <vt:lpstr>Vessel Data</vt:lpstr>
      <vt:lpstr>Pax Service Overview</vt:lpstr>
      <vt:lpstr>Pax Capital</vt:lpstr>
      <vt:lpstr>Pax Operate Maint</vt:lpstr>
      <vt:lpstr>Pax Total Cost</vt:lpstr>
      <vt:lpstr>Pax Summary</vt:lpstr>
      <vt:lpstr>Manual</vt:lpstr>
      <vt:lpstr>Manual Capital</vt:lpstr>
      <vt:lpstr>Manual Oper Maint</vt:lpstr>
      <vt:lpstr>Manual Total</vt:lpstr>
      <vt:lpstr>RORO Service Overview</vt:lpstr>
      <vt:lpstr>RORO Capital</vt:lpstr>
      <vt:lpstr>RORO Oper Maint</vt:lpstr>
      <vt:lpstr>RORO Total Cost</vt:lpstr>
      <vt:lpstr>RORO Summary</vt:lpstr>
      <vt:lpstr>Manual RORO</vt:lpstr>
      <vt:lpstr>Manual Capital RORO</vt:lpstr>
      <vt:lpstr>Manual Oper Maint RORO</vt:lpstr>
      <vt:lpstr>Manual Total RORO</vt:lpstr>
      <vt:lpstr>'User Inputs'!Print_Area</vt:lpstr>
    </vt:vector>
  </TitlesOfParts>
  <Company>USDOT\Volpe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sylvester</dc:creator>
  <cp:lastModifiedBy>Kay, Michael (VOLPE)</cp:lastModifiedBy>
  <cp:lastPrinted>2010-04-26T17:47:35Z</cp:lastPrinted>
  <dcterms:created xsi:type="dcterms:W3CDTF">2009-10-13T17:37:18Z</dcterms:created>
  <dcterms:modified xsi:type="dcterms:W3CDTF">2011-12-06T15:56:04Z</dcterms:modified>
</cp:coreProperties>
</file>